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Insura Broking Group\PDF\"/>
    </mc:Choice>
  </mc:AlternateContent>
  <xr:revisionPtr revIDLastSave="0" documentId="8_{B6DEAE5A-1B71-488A-BF96-8B4B39BEBBCD}" xr6:coauthVersionLast="47" xr6:coauthVersionMax="47" xr10:uidLastSave="{00000000-0000-0000-0000-000000000000}"/>
  <workbookProtection workbookAlgorithmName="SHA-512" workbookHashValue="ISBbNaW+EPaN3MZKKwnJYC+71IvEUWLJV6TLwTCErbPdIcSADcbqnmdiZHVxPzOdFz+Kz+qNOH/jyka6AuNkog==" workbookSaltValue="ooN6u7socDhWVDGMnX2OPg==" workbookSpinCount="100000" lockStructure="1"/>
  <bookViews>
    <workbookView xWindow="-120" yWindow="-120" windowWidth="29040" windowHeight="15720" xr2:uid="{8FEEE491-8374-4695-8420-6D7885A85720}"/>
  </bookViews>
  <sheets>
    <sheet name="Quick Quote " sheetId="8" r:id="rId1"/>
    <sheet name="Quote &amp; Application" sheetId="1" state="hidden" r:id="rId2"/>
    <sheet name="drop downs" sheetId="2" state="hidden" r:id="rId3"/>
    <sheet name="Rural Affinity Rates " sheetId="10" state="hidden" r:id="rId4"/>
    <sheet name="All State Rates " sheetId="9" state="hidden" r:id="rId5"/>
    <sheet name="Manual rates" sheetId="6" state="hidden" r:id="rId6"/>
    <sheet name="Rates &amp; Rating" sheetId="3" state="hidden" r:id="rId7"/>
  </sheets>
  <definedNames>
    <definedName name="_xlnm._FilterDatabase" localSheetId="4" hidden="1">'All State Rates '!$A$1:$R$201</definedName>
    <definedName name="_xlnm._FilterDatabase" localSheetId="6" hidden="1">'Rates &amp; Rating'!$A$1:$T$1</definedName>
    <definedName name="_xlnm._FilterDatabase" localSheetId="3" hidden="1">'Rural Affinity Rates '!$A$1:$G$47</definedName>
    <definedName name="_xlnm.Print_Area" localSheetId="5">'Manual rates'!$A$1:$I$42</definedName>
    <definedName name="_xlnm.Print_Area" localSheetId="0">'Quick Quote '!$A$1:$M$223</definedName>
    <definedName name="_xlnm.Print_Area" localSheetId="1">'Quote &amp; Application'!$B$1:$L$170</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8" l="1"/>
  <c r="K15" i="8"/>
  <c r="C22" i="2" a="1"/>
  <c r="F17" i="2" a="1"/>
  <c r="F17" i="2"/>
  <c r="C23" i="2"/>
  <c r="C22" i="2"/>
  <c r="C24" i="2"/>
  <c r="K14" i="8"/>
  <c r="K13" i="8"/>
  <c r="K217" i="8"/>
  <c r="K218" i="8"/>
  <c r="I217" i="8"/>
  <c r="I218" i="8"/>
  <c r="B217" i="8"/>
  <c r="B218" i="8"/>
  <c r="K216" i="8"/>
  <c r="I216" i="8"/>
  <c r="B216" i="8"/>
  <c r="B215" i="8"/>
  <c r="C215" i="8"/>
  <c r="I221" i="8"/>
  <c r="A209" i="8"/>
  <c r="K115" i="8"/>
  <c r="K215" i="8"/>
  <c r="J115" i="8"/>
  <c r="I215" i="8"/>
  <c r="B116" i="8"/>
  <c r="E115" i="8"/>
  <c r="K178" i="8"/>
  <c r="J107" i="8"/>
  <c r="K180" i="8"/>
  <c r="J103" i="8"/>
  <c r="K176" i="8"/>
  <c r="J98" i="8"/>
  <c r="K172" i="8"/>
  <c r="I75" i="8"/>
  <c r="I67" i="8"/>
  <c r="I59" i="8"/>
  <c r="I51" i="8"/>
  <c r="I43" i="8"/>
  <c r="G30" i="8"/>
  <c r="J24" i="8"/>
  <c r="J180" i="8"/>
  <c r="J178" i="8"/>
  <c r="J176" i="8"/>
  <c r="J172" i="8"/>
  <c r="A153" i="8"/>
  <c r="H195" i="8"/>
  <c r="H196" i="8"/>
  <c r="H197" i="8"/>
  <c r="H198" i="8"/>
  <c r="H194" i="8"/>
  <c r="B195" i="8"/>
  <c r="B196" i="8"/>
  <c r="B197" i="8"/>
  <c r="B198" i="8"/>
  <c r="B194" i="8"/>
  <c r="C74" i="8"/>
  <c r="C73" i="8"/>
  <c r="C72" i="8"/>
  <c r="C71" i="8"/>
  <c r="C70" i="8"/>
  <c r="C66" i="8"/>
  <c r="C65" i="8"/>
  <c r="C64" i="8"/>
  <c r="C63" i="8"/>
  <c r="C62" i="8"/>
  <c r="C58" i="8"/>
  <c r="C57" i="8"/>
  <c r="C56" i="8"/>
  <c r="C55" i="8"/>
  <c r="C54" i="8"/>
  <c r="C50" i="8"/>
  <c r="C49" i="8"/>
  <c r="C48" i="8"/>
  <c r="C47" i="8"/>
  <c r="C46" i="8"/>
  <c r="C42" i="8"/>
  <c r="C41" i="8"/>
  <c r="C40" i="8"/>
  <c r="C39" i="8"/>
  <c r="C38" i="8"/>
  <c r="J156" i="8"/>
  <c r="J157" i="8"/>
  <c r="J155" i="8"/>
  <c r="J164" i="8"/>
  <c r="J162" i="8"/>
  <c r="J160" i="8"/>
  <c r="A166" i="8"/>
  <c r="A164" i="8"/>
  <c r="A162" i="8"/>
  <c r="E221" i="8"/>
  <c r="A160" i="8"/>
  <c r="Q19" i="8"/>
  <c r="U6" i="8"/>
  <c r="U7" i="8"/>
  <c r="Q20" i="8"/>
  <c r="Q21" i="8"/>
  <c r="Q22" i="8"/>
  <c r="Q23" i="8"/>
  <c r="H205" i="8"/>
  <c r="L44" i="8"/>
  <c r="L52" i="8"/>
  <c r="L60" i="8"/>
  <c r="L68" i="8"/>
  <c r="G62" i="9"/>
  <c r="G63" i="9"/>
  <c r="G64" i="9"/>
  <c r="G65" i="9"/>
  <c r="G66" i="9"/>
  <c r="G72" i="9"/>
  <c r="G73" i="9"/>
  <c r="G74" i="9"/>
  <c r="G75" i="9"/>
  <c r="G76" i="9"/>
  <c r="G82" i="9"/>
  <c r="G83" i="9"/>
  <c r="G84" i="9"/>
  <c r="G85" i="9"/>
  <c r="G86" i="9"/>
  <c r="G92" i="9"/>
  <c r="G93" i="9"/>
  <c r="G94" i="9"/>
  <c r="G95" i="9"/>
  <c r="G96" i="9"/>
  <c r="B115" i="8"/>
  <c r="C147" i="8"/>
  <c r="U8" i="8"/>
  <c r="V8" i="8"/>
  <c r="G148" i="9"/>
  <c r="G69" i="9"/>
  <c r="G32" i="9"/>
  <c r="G16" i="9"/>
  <c r="G2" i="9"/>
  <c r="G3" i="9"/>
  <c r="G4" i="9"/>
  <c r="G5" i="9"/>
  <c r="G6" i="9"/>
  <c r="G7" i="9"/>
  <c r="G8" i="9"/>
  <c r="G9" i="9"/>
  <c r="G10" i="9"/>
  <c r="G11" i="9"/>
  <c r="G12" i="9"/>
  <c r="G13" i="9"/>
  <c r="G14" i="9"/>
  <c r="G15" i="9"/>
  <c r="G17" i="9"/>
  <c r="G18" i="9"/>
  <c r="G19" i="9"/>
  <c r="G20" i="9"/>
  <c r="G21" i="9"/>
  <c r="G22" i="9"/>
  <c r="G23" i="9"/>
  <c r="G24" i="9"/>
  <c r="G25" i="9"/>
  <c r="G26" i="9"/>
  <c r="G27" i="9"/>
  <c r="G28" i="9"/>
  <c r="G29" i="9"/>
  <c r="G30" i="9"/>
  <c r="G31"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7" i="9"/>
  <c r="G68" i="9"/>
  <c r="G70" i="9"/>
  <c r="G71" i="9"/>
  <c r="G77" i="9"/>
  <c r="G78" i="9"/>
  <c r="G79" i="9"/>
  <c r="G80" i="9"/>
  <c r="G81" i="9"/>
  <c r="G87" i="9"/>
  <c r="G88" i="9"/>
  <c r="G89" i="9"/>
  <c r="G90" i="9"/>
  <c r="G91" i="9"/>
  <c r="G97" i="9"/>
  <c r="G98" i="9"/>
  <c r="G99" i="9"/>
  <c r="G100" i="9"/>
  <c r="G101" i="9"/>
  <c r="G102" i="9"/>
  <c r="G103" i="9"/>
  <c r="G104" i="9"/>
  <c r="G105" i="9"/>
  <c r="G106" i="9"/>
  <c r="G107" i="9"/>
  <c r="G108" i="9"/>
  <c r="G109" i="9"/>
  <c r="G110" i="9"/>
  <c r="G111" i="9"/>
  <c r="G112" i="9"/>
  <c r="G113" i="9"/>
  <c r="G114" i="9"/>
  <c r="G115" i="9"/>
  <c r="G116" i="9"/>
  <c r="G117" i="9"/>
  <c r="G118" i="9"/>
  <c r="G119" i="9"/>
  <c r="G120" i="9"/>
  <c r="G121" i="9"/>
  <c r="G122" i="9"/>
  <c r="G123" i="9"/>
  <c r="G124" i="9"/>
  <c r="G125" i="9"/>
  <c r="G126" i="9"/>
  <c r="G127" i="9"/>
  <c r="G128" i="9"/>
  <c r="G129" i="9"/>
  <c r="G130" i="9"/>
  <c r="G131" i="9"/>
  <c r="G132" i="9"/>
  <c r="G133" i="9"/>
  <c r="G134" i="9"/>
  <c r="G135" i="9"/>
  <c r="G136" i="9"/>
  <c r="G137" i="9"/>
  <c r="G138" i="9"/>
  <c r="G139" i="9"/>
  <c r="G140" i="9"/>
  <c r="G141" i="9"/>
  <c r="G142" i="9"/>
  <c r="G143" i="9"/>
  <c r="G144" i="9"/>
  <c r="G145" i="9"/>
  <c r="G146" i="9"/>
  <c r="G147" i="9"/>
  <c r="G149" i="9"/>
  <c r="G150" i="9"/>
  <c r="G151" i="9"/>
  <c r="G152" i="9"/>
  <c r="G153" i="9"/>
  <c r="G154" i="9"/>
  <c r="G155" i="9"/>
  <c r="G156" i="9"/>
  <c r="G157" i="9"/>
  <c r="G158" i="9"/>
  <c r="G159" i="9"/>
  <c r="G160" i="9"/>
  <c r="G161" i="9"/>
  <c r="G162" i="9"/>
  <c r="G163" i="9"/>
  <c r="G164" i="9"/>
  <c r="G165" i="9"/>
  <c r="G166" i="9"/>
  <c r="G167" i="9"/>
  <c r="G168" i="9"/>
  <c r="G169" i="9"/>
  <c r="G170" i="9"/>
  <c r="G171" i="9"/>
  <c r="G172" i="9"/>
  <c r="G173" i="9"/>
  <c r="G174" i="9"/>
  <c r="G175" i="9"/>
  <c r="G176" i="9"/>
  <c r="G177" i="9"/>
  <c r="G178" i="9"/>
  <c r="G179" i="9"/>
  <c r="G180" i="9"/>
  <c r="G181" i="9"/>
  <c r="G182" i="9"/>
  <c r="G183" i="9"/>
  <c r="G184" i="9"/>
  <c r="G185" i="9"/>
  <c r="G186" i="9"/>
  <c r="G187" i="9"/>
  <c r="G188" i="9"/>
  <c r="G189" i="9"/>
  <c r="G190" i="9"/>
  <c r="G191" i="9"/>
  <c r="G192" i="9"/>
  <c r="G193" i="9"/>
  <c r="G194" i="9"/>
  <c r="G195" i="9"/>
  <c r="G196" i="9"/>
  <c r="G197" i="9"/>
  <c r="G198" i="9"/>
  <c r="G199" i="9"/>
  <c r="G200" i="9"/>
  <c r="G201" i="9"/>
  <c r="D74" i="8"/>
  <c r="S23" i="8"/>
  <c r="I29" i="8"/>
  <c r="D73" i="8"/>
  <c r="S22" i="8"/>
  <c r="D72" i="8"/>
  <c r="S21" i="8"/>
  <c r="D71" i="8"/>
  <c r="S20" i="8"/>
  <c r="U63" i="8"/>
  <c r="D70" i="8"/>
  <c r="S19" i="8"/>
  <c r="D66" i="8"/>
  <c r="D65" i="8"/>
  <c r="D64" i="8"/>
  <c r="D63" i="8"/>
  <c r="D62" i="8"/>
  <c r="D58" i="8"/>
  <c r="D57" i="8"/>
  <c r="D56" i="8"/>
  <c r="D55" i="8"/>
  <c r="D54" i="8"/>
  <c r="D50" i="8"/>
  <c r="D49" i="8"/>
  <c r="D48" i="8"/>
  <c r="D47" i="8"/>
  <c r="D46" i="8"/>
  <c r="D39" i="8"/>
  <c r="D40" i="8"/>
  <c r="D41" i="8"/>
  <c r="D42" i="8"/>
  <c r="D38" i="8"/>
  <c r="E71" i="8"/>
  <c r="E72" i="8"/>
  <c r="E73" i="8"/>
  <c r="E74" i="8"/>
  <c r="E70" i="8"/>
  <c r="E63" i="8"/>
  <c r="E64" i="8"/>
  <c r="E65" i="8"/>
  <c r="E66" i="8"/>
  <c r="E62" i="8"/>
  <c r="E55" i="8"/>
  <c r="E56" i="8"/>
  <c r="E57" i="8"/>
  <c r="E58" i="8"/>
  <c r="E54" i="8"/>
  <c r="E47" i="8"/>
  <c r="E48" i="8"/>
  <c r="E49" i="8"/>
  <c r="E50" i="8"/>
  <c r="E46" i="8"/>
  <c r="E39" i="8"/>
  <c r="E40" i="8"/>
  <c r="E41" i="8"/>
  <c r="E42" i="8"/>
  <c r="E38" i="8"/>
  <c r="X45" i="8"/>
  <c r="W51" i="8"/>
  <c r="X46" i="8"/>
  <c r="W52" i="8"/>
  <c r="X47" i="8"/>
  <c r="W53" i="8"/>
  <c r="X48" i="8"/>
  <c r="W54" i="8"/>
  <c r="X44" i="8"/>
  <c r="W50" i="8"/>
  <c r="V44" i="8"/>
  <c r="U12" i="8"/>
  <c r="V45" i="8"/>
  <c r="U45" i="8"/>
  <c r="U55" i="8"/>
  <c r="X55" i="8"/>
  <c r="U56" i="8"/>
  <c r="X56" i="8"/>
  <c r="U57" i="8"/>
  <c r="X57" i="8"/>
  <c r="U58" i="8"/>
  <c r="X58" i="8"/>
  <c r="U59" i="8"/>
  <c r="X59" i="8"/>
  <c r="W55" i="8"/>
  <c r="W56" i="8"/>
  <c r="W57" i="8"/>
  <c r="W58" i="8"/>
  <c r="W59" i="8"/>
  <c r="K31" i="8"/>
  <c r="X12" i="8"/>
  <c r="V12" i="8"/>
  <c r="AA12" i="8"/>
  <c r="U30" i="8"/>
  <c r="V30" i="8"/>
  <c r="AA30" i="8"/>
  <c r="P20" i="8"/>
  <c r="P21" i="8"/>
  <c r="P22" i="8"/>
  <c r="P23" i="8"/>
  <c r="P19" i="8"/>
  <c r="F20" i="8"/>
  <c r="F21" i="8"/>
  <c r="F22" i="8"/>
  <c r="F23" i="8"/>
  <c r="F19" i="8"/>
  <c r="B30" i="8"/>
  <c r="V33" i="8"/>
  <c r="V34" i="8"/>
  <c r="V35" i="8"/>
  <c r="V36" i="8"/>
  <c r="V32" i="8"/>
  <c r="W36" i="8"/>
  <c r="W35" i="8"/>
  <c r="W34" i="8"/>
  <c r="W33" i="8"/>
  <c r="W32" i="8"/>
  <c r="G45" i="10"/>
  <c r="G44" i="10"/>
  <c r="G43" i="10"/>
  <c r="G42" i="10"/>
  <c r="G41" i="10"/>
  <c r="G40" i="10"/>
  <c r="G39" i="10"/>
  <c r="G38" i="10"/>
  <c r="G37" i="10"/>
  <c r="G36" i="10"/>
  <c r="G35" i="10"/>
  <c r="G34" i="10"/>
  <c r="G33" i="10"/>
  <c r="G32" i="10"/>
  <c r="G31" i="10"/>
  <c r="G30" i="10"/>
  <c r="G29" i="10"/>
  <c r="G28" i="10"/>
  <c r="G27" i="10"/>
  <c r="G26" i="10"/>
  <c r="G25" i="10"/>
  <c r="G24" i="10"/>
  <c r="G23" i="10"/>
  <c r="G22" i="10"/>
  <c r="G21" i="10"/>
  <c r="G20" i="10"/>
  <c r="G19" i="10"/>
  <c r="G18" i="10"/>
  <c r="G17" i="10"/>
  <c r="G16" i="10"/>
  <c r="G15" i="10"/>
  <c r="G14" i="10"/>
  <c r="G13" i="10"/>
  <c r="G12" i="10"/>
  <c r="G11" i="10"/>
  <c r="G10" i="10"/>
  <c r="G9" i="10"/>
  <c r="G8" i="10"/>
  <c r="G7" i="10"/>
  <c r="G6" i="10"/>
  <c r="G5" i="10"/>
  <c r="G4" i="10"/>
  <c r="G3" i="10"/>
  <c r="G2" i="10"/>
  <c r="V6" i="8"/>
  <c r="X6" i="8"/>
  <c r="I7" i="8"/>
  <c r="W15" i="8"/>
  <c r="W16" i="8"/>
  <c r="W17" i="8"/>
  <c r="W18" i="8"/>
  <c r="W19" i="8"/>
  <c r="V16" i="8"/>
  <c r="V17" i="8"/>
  <c r="V18" i="8"/>
  <c r="V19" i="8"/>
  <c r="V15" i="8"/>
  <c r="U9" i="8"/>
  <c r="B15" i="3"/>
  <c r="H16" i="3"/>
  <c r="B19" i="3"/>
  <c r="D20" i="3"/>
  <c r="B22" i="3"/>
  <c r="C22" i="3"/>
  <c r="I31" i="8"/>
  <c r="B22" i="8"/>
  <c r="I6" i="8"/>
  <c r="I4" i="8"/>
  <c r="I3" i="8"/>
  <c r="C88" i="1"/>
  <c r="O6" i="1"/>
  <c r="E4" i="1"/>
  <c r="H6" i="1"/>
  <c r="T30" i="1"/>
  <c r="S30" i="1"/>
  <c r="P7" i="1"/>
  <c r="O7" i="1"/>
  <c r="I19" i="1" a="1"/>
  <c r="F29" i="1"/>
  <c r="G24" i="1"/>
  <c r="B59" i="1"/>
  <c r="B58" i="1"/>
  <c r="M19" i="1"/>
  <c r="M20" i="1"/>
  <c r="M21" i="1"/>
  <c r="M22" i="1"/>
  <c r="M23" i="1"/>
  <c r="M24" i="1"/>
  <c r="M25" i="1"/>
  <c r="M26" i="1"/>
  <c r="M27" i="1"/>
  <c r="M18" i="1"/>
  <c r="N19" i="1"/>
  <c r="N20" i="1"/>
  <c r="N21" i="1"/>
  <c r="N22" i="1"/>
  <c r="N23" i="1"/>
  <c r="N24" i="1"/>
  <c r="N25" i="1"/>
  <c r="N26" i="1"/>
  <c r="N27" i="1"/>
  <c r="N18" i="1"/>
  <c r="B22" i="1"/>
  <c r="C11" i="3"/>
  <c r="B24" i="1"/>
  <c r="H30" i="1"/>
  <c r="H3" i="1"/>
  <c r="P41" i="1"/>
  <c r="H28" i="1"/>
  <c r="F20" i="3"/>
  <c r="F19" i="3"/>
  <c r="B26" i="3"/>
  <c r="F22" i="3"/>
  <c r="E16" i="3"/>
  <c r="G15" i="1"/>
  <c r="G16" i="1"/>
  <c r="G17" i="1"/>
  <c r="G18" i="1"/>
  <c r="J14" i="1"/>
  <c r="J15" i="1"/>
  <c r="J16" i="1"/>
  <c r="J17" i="1"/>
  <c r="J18" i="1"/>
  <c r="G14" i="1"/>
  <c r="N4" i="1"/>
  <c r="M4" i="1"/>
  <c r="H4" i="1"/>
  <c r="N28" i="1"/>
  <c r="C26" i="3"/>
  <c r="M28" i="1"/>
  <c r="B17" i="1"/>
  <c r="H15" i="3"/>
  <c r="E15" i="3"/>
  <c r="D19" i="3"/>
  <c r="O33" i="1"/>
  <c r="C29" i="3"/>
  <c r="O19" i="1"/>
  <c r="O34" i="1"/>
  <c r="Q35" i="1"/>
  <c r="O35" i="1"/>
  <c r="Q39" i="1"/>
  <c r="Q38" i="1"/>
  <c r="O8" i="1"/>
  <c r="H7" i="1"/>
  <c r="P39" i="1"/>
  <c r="N39" i="1"/>
  <c r="U30" i="1"/>
  <c r="F26" i="1"/>
  <c r="P30" i="1"/>
  <c r="O30" i="1"/>
  <c r="J30" i="1"/>
  <c r="H77" i="1"/>
  <c r="F27" i="1"/>
  <c r="F28" i="1" a="1"/>
  <c r="F30" i="1"/>
  <c r="B83" i="1"/>
  <c r="B82" i="1"/>
  <c r="B81" i="1"/>
  <c r="A26" i="2"/>
  <c r="C14" i="8"/>
  <c r="F194" i="8"/>
  <c r="D194" i="8"/>
  <c r="F198" i="8"/>
  <c r="D198" i="8"/>
  <c r="F197" i="8"/>
  <c r="D197" i="8"/>
  <c r="F196" i="8"/>
  <c r="D196" i="8"/>
  <c r="F195" i="8"/>
  <c r="D195" i="8"/>
  <c r="U11" i="8"/>
  <c r="U64" i="8"/>
  <c r="U65" i="8"/>
  <c r="U66" i="8"/>
  <c r="U62" i="8"/>
  <c r="P39" i="8"/>
  <c r="O39" i="8"/>
  <c r="F39" i="8"/>
  <c r="P47" i="8"/>
  <c r="O47" i="8"/>
  <c r="F47" i="8"/>
  <c r="P55" i="8"/>
  <c r="O55" i="8"/>
  <c r="F55" i="8"/>
  <c r="P63" i="8"/>
  <c r="O63" i="8"/>
  <c r="F63" i="8"/>
  <c r="P71" i="8"/>
  <c r="O71" i="8"/>
  <c r="F71" i="8"/>
  <c r="P46" i="8"/>
  <c r="O46" i="8"/>
  <c r="F46" i="8"/>
  <c r="P54" i="8"/>
  <c r="O54" i="8"/>
  <c r="F54" i="8"/>
  <c r="P62" i="8"/>
  <c r="O62" i="8"/>
  <c r="F62" i="8"/>
  <c r="P70" i="8"/>
  <c r="O70" i="8"/>
  <c r="F70" i="8"/>
  <c r="P38" i="8"/>
  <c r="O38" i="8"/>
  <c r="F38" i="8"/>
  <c r="P42" i="8"/>
  <c r="O42" i="8"/>
  <c r="F42" i="8"/>
  <c r="P50" i="8"/>
  <c r="O50" i="8"/>
  <c r="F50" i="8"/>
  <c r="P58" i="8"/>
  <c r="O58" i="8"/>
  <c r="F58" i="8"/>
  <c r="P66" i="8"/>
  <c r="O66" i="8"/>
  <c r="F66" i="8"/>
  <c r="P74" i="8"/>
  <c r="O74" i="8"/>
  <c r="F74" i="8"/>
  <c r="P41" i="8"/>
  <c r="O41" i="8"/>
  <c r="F41" i="8"/>
  <c r="P49" i="8"/>
  <c r="O49" i="8"/>
  <c r="F49" i="8"/>
  <c r="P57" i="8"/>
  <c r="O57" i="8"/>
  <c r="F57" i="8"/>
  <c r="P65" i="8"/>
  <c r="O65" i="8"/>
  <c r="F65" i="8"/>
  <c r="P73" i="8"/>
  <c r="O73" i="8"/>
  <c r="F73" i="8"/>
  <c r="P40" i="8"/>
  <c r="O40" i="8"/>
  <c r="F40" i="8"/>
  <c r="P48" i="8"/>
  <c r="O48" i="8"/>
  <c r="F48" i="8"/>
  <c r="P56" i="8"/>
  <c r="O56" i="8"/>
  <c r="F56" i="8"/>
  <c r="P64" i="8"/>
  <c r="O64" i="8"/>
  <c r="F64" i="8"/>
  <c r="P72" i="8"/>
  <c r="O72" i="8"/>
  <c r="F72" i="8"/>
  <c r="X11" i="8"/>
  <c r="V11" i="8"/>
  <c r="AA11" i="8"/>
  <c r="U16" i="8"/>
  <c r="U44" i="8"/>
  <c r="U29" i="8"/>
  <c r="V29" i="8"/>
  <c r="AA29" i="8"/>
  <c r="L71" i="8"/>
  <c r="G71" i="8"/>
  <c r="H71" i="8"/>
  <c r="J71" i="8"/>
  <c r="F75" i="8"/>
  <c r="L63" i="8"/>
  <c r="G63" i="8"/>
  <c r="H63" i="8"/>
  <c r="J63" i="8"/>
  <c r="F67" i="8"/>
  <c r="L55" i="8"/>
  <c r="G55" i="8"/>
  <c r="H55" i="8"/>
  <c r="J55" i="8"/>
  <c r="F59" i="8"/>
  <c r="L47" i="8"/>
  <c r="G47" i="8"/>
  <c r="H47" i="8"/>
  <c r="J47" i="8"/>
  <c r="F51" i="8"/>
  <c r="L39" i="8"/>
  <c r="G39" i="8"/>
  <c r="H39" i="8"/>
  <c r="J39" i="8"/>
  <c r="F43" i="8"/>
  <c r="U33" i="8"/>
  <c r="O20" i="8"/>
  <c r="G20" i="8"/>
  <c r="U34" i="8"/>
  <c r="U35" i="8"/>
  <c r="U36" i="8"/>
  <c r="U32" i="8"/>
  <c r="U51" i="8"/>
  <c r="X51" i="8"/>
  <c r="U52" i="8"/>
  <c r="X52" i="8"/>
  <c r="U53" i="8"/>
  <c r="X53" i="8"/>
  <c r="U54" i="8"/>
  <c r="X54" i="8"/>
  <c r="U50" i="8"/>
  <c r="X50" i="8"/>
  <c r="U15" i="8"/>
  <c r="O19" i="8"/>
  <c r="G19" i="8"/>
  <c r="U17" i="8"/>
  <c r="O21" i="8"/>
  <c r="G21" i="8"/>
  <c r="U18" i="8"/>
  <c r="O22" i="8"/>
  <c r="G22" i="8"/>
  <c r="U19" i="8"/>
  <c r="O23" i="8"/>
  <c r="G23" i="8"/>
  <c r="L72" i="8"/>
  <c r="G72" i="8"/>
  <c r="H72" i="8"/>
  <c r="J72" i="8"/>
  <c r="L64" i="8"/>
  <c r="G64" i="8"/>
  <c r="H64" i="8"/>
  <c r="J64" i="8"/>
  <c r="L56" i="8"/>
  <c r="G56" i="8"/>
  <c r="H56" i="8"/>
  <c r="J56" i="8"/>
  <c r="L48" i="8"/>
  <c r="G48" i="8"/>
  <c r="H48" i="8"/>
  <c r="J48" i="8"/>
  <c r="L40" i="8"/>
  <c r="G40" i="8"/>
  <c r="H40" i="8"/>
  <c r="J40" i="8"/>
  <c r="L73" i="8"/>
  <c r="G73" i="8"/>
  <c r="H73" i="8"/>
  <c r="J73" i="8"/>
  <c r="L65" i="8"/>
  <c r="G65" i="8"/>
  <c r="H65" i="8"/>
  <c r="J65" i="8"/>
  <c r="L57" i="8"/>
  <c r="G57" i="8"/>
  <c r="H57" i="8"/>
  <c r="J57" i="8"/>
  <c r="L49" i="8"/>
  <c r="G49" i="8"/>
  <c r="H49" i="8"/>
  <c r="J49" i="8"/>
  <c r="L41" i="8"/>
  <c r="G41" i="8"/>
  <c r="H41" i="8"/>
  <c r="J41" i="8"/>
  <c r="L74" i="8"/>
  <c r="G74" i="8"/>
  <c r="H74" i="8"/>
  <c r="J74" i="8"/>
  <c r="L66" i="8"/>
  <c r="G66" i="8"/>
  <c r="H66" i="8"/>
  <c r="J66" i="8"/>
  <c r="L58" i="8"/>
  <c r="G58" i="8"/>
  <c r="H58" i="8"/>
  <c r="J58" i="8"/>
  <c r="L50" i="8"/>
  <c r="G50" i="8"/>
  <c r="H50" i="8"/>
  <c r="J50" i="8"/>
  <c r="L42" i="8"/>
  <c r="G42" i="8"/>
  <c r="H42" i="8"/>
  <c r="J42" i="8"/>
  <c r="L38" i="8"/>
  <c r="G38" i="8"/>
  <c r="G43" i="8"/>
  <c r="H38" i="8"/>
  <c r="H43" i="8"/>
  <c r="J38" i="8"/>
  <c r="L70" i="8"/>
  <c r="G70" i="8"/>
  <c r="G75" i="8"/>
  <c r="H70" i="8"/>
  <c r="H75" i="8"/>
  <c r="J70" i="8"/>
  <c r="L62" i="8"/>
  <c r="G62" i="8"/>
  <c r="G67" i="8"/>
  <c r="H62" i="8"/>
  <c r="H67" i="8"/>
  <c r="J62" i="8"/>
  <c r="L54" i="8"/>
  <c r="G54" i="8"/>
  <c r="G59" i="8"/>
  <c r="H54" i="8"/>
  <c r="H59" i="8"/>
  <c r="J54" i="8"/>
  <c r="L46" i="8"/>
  <c r="G46" i="8"/>
  <c r="G51" i="8"/>
  <c r="H46" i="8"/>
  <c r="H51" i="8"/>
  <c r="J46" i="8"/>
  <c r="H20" i="8"/>
  <c r="I20" i="8"/>
  <c r="X16" i="8"/>
  <c r="R20" i="8"/>
  <c r="K20" i="8"/>
  <c r="J195" i="8"/>
  <c r="J51" i="8"/>
  <c r="J59" i="8"/>
  <c r="J67" i="8"/>
  <c r="J75" i="8"/>
  <c r="J43" i="8"/>
  <c r="H23" i="8"/>
  <c r="I23" i="8"/>
  <c r="X19" i="8"/>
  <c r="R23" i="8"/>
  <c r="K23" i="8"/>
  <c r="J198" i="8"/>
  <c r="H22" i="8"/>
  <c r="I22" i="8"/>
  <c r="X18" i="8"/>
  <c r="R22" i="8"/>
  <c r="K22" i="8"/>
  <c r="J197" i="8"/>
  <c r="H21" i="8"/>
  <c r="I21" i="8"/>
  <c r="X17" i="8"/>
  <c r="R21" i="8"/>
  <c r="K21" i="8"/>
  <c r="J196" i="8"/>
  <c r="H19" i="8"/>
  <c r="H24" i="8"/>
  <c r="G28" i="8"/>
  <c r="H202" i="8"/>
  <c r="I19" i="8"/>
  <c r="I24" i="8"/>
  <c r="G29" i="8"/>
  <c r="H204" i="8"/>
  <c r="X15" i="8"/>
  <c r="R19" i="8"/>
  <c r="K19" i="8"/>
  <c r="J194" i="8"/>
  <c r="G24" i="8"/>
  <c r="G27" i="8"/>
  <c r="K24" i="8"/>
  <c r="G31" i="8"/>
  <c r="H206" i="8"/>
  <c r="H201" i="8"/>
  <c r="H203" i="8"/>
  <c r="F28" i="1"/>
  <c r="I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Brendan Kelly</author>
  </authors>
  <commentList>
    <comment ref="J3" authorId="0" shapeId="0" xr:uid="{27DF20FB-1868-45DD-9F42-08CCDBE7BEA0}">
      <text>
        <r>
          <rPr>
            <b/>
            <sz val="9"/>
            <color indexed="81"/>
            <rFont val="Tahoma"/>
            <family val="2"/>
          </rPr>
          <t>Brendan Kelly:</t>
        </r>
        <r>
          <rPr>
            <sz val="9"/>
            <color indexed="81"/>
            <rFont val="Tahoma"/>
            <family val="2"/>
          </rPr>
          <t xml:space="preserve">
There is type type of sales.  Fall of hammer/auction sales or Private (No Auction) Sales.   You will only be able to obtain a quote for Private sales as there is a further process and information required. (Vet report and Valuation)</t>
        </r>
      </text>
    </comment>
    <comment ref="J4" authorId="0" shapeId="0" xr:uid="{589163C9-40EE-4AD0-ADED-A03460F000F2}">
      <text>
        <r>
          <rPr>
            <b/>
            <sz val="9"/>
            <color indexed="81"/>
            <rFont val="Tahoma"/>
            <family val="2"/>
          </rPr>
          <t>Brendan Kelly:</t>
        </r>
        <r>
          <rPr>
            <sz val="9"/>
            <color indexed="81"/>
            <rFont val="Tahoma"/>
            <family val="2"/>
          </rPr>
          <t xml:space="preserve">
Any Auction Sales over 14 days prior will require referral.  </t>
        </r>
      </text>
    </comment>
    <comment ref="J6" authorId="0" shapeId="0" xr:uid="{3F3D6AB7-E05E-41AA-B42F-11F4585AB576}">
      <text>
        <r>
          <rPr>
            <b/>
            <sz val="9"/>
            <color indexed="81"/>
            <rFont val="Tahoma"/>
            <family val="2"/>
          </rPr>
          <t>Brendan Kelly:</t>
        </r>
        <r>
          <rPr>
            <sz val="9"/>
            <color indexed="81"/>
            <rFont val="Tahoma"/>
            <family val="2"/>
          </rPr>
          <t xml:space="preserve">
Bulls   -
Rams  - 
Ewes - 
Other -  referral required</t>
        </r>
      </text>
    </comment>
    <comment ref="B19" authorId="0" shapeId="0" xr:uid="{E52A5A60-5124-496F-A76C-1A5627E5AD3B}">
      <text>
        <r>
          <rPr>
            <b/>
            <sz val="9"/>
            <color indexed="81"/>
            <rFont val="Tahoma"/>
            <family val="2"/>
          </rPr>
          <t>Brendan Kelly:</t>
        </r>
        <r>
          <rPr>
            <sz val="9"/>
            <color indexed="81"/>
            <rFont val="Tahoma"/>
            <family val="2"/>
          </rPr>
          <t xml:space="preserve">
</t>
        </r>
        <r>
          <rPr>
            <b/>
            <sz val="9"/>
            <color indexed="81"/>
            <rFont val="Tahoma"/>
            <family val="2"/>
          </rPr>
          <t>What is the sum insured?</t>
        </r>
        <r>
          <rPr>
            <sz val="9"/>
            <color indexed="81"/>
            <rFont val="Tahoma"/>
            <family val="2"/>
          </rPr>
          <t xml:space="preserve">
The sum insured of any catalogue or private sale is
the purchased price (excluding GST) of the animal by the insured.
In the event of a Private sale this is to be verified in the inspector/agent report
(question 1) or by an invoice.</t>
        </r>
      </text>
    </comment>
    <comment ref="B20" authorId="0" shapeId="0" xr:uid="{B68C11D4-4B34-45B8-AB8A-8DA324D335C3}">
      <text>
        <r>
          <rPr>
            <b/>
            <sz val="9"/>
            <color indexed="81"/>
            <rFont val="Tahoma"/>
            <family val="2"/>
          </rPr>
          <t>Brendan Kelly:</t>
        </r>
        <r>
          <rPr>
            <sz val="9"/>
            <color indexed="81"/>
            <rFont val="Tahoma"/>
            <family val="2"/>
          </rPr>
          <t xml:space="preserve">
</t>
        </r>
        <r>
          <rPr>
            <b/>
            <sz val="9"/>
            <color indexed="81"/>
            <rFont val="Tahoma"/>
            <family val="2"/>
          </rPr>
          <t>What is an Excess?</t>
        </r>
        <r>
          <rPr>
            <sz val="9"/>
            <color indexed="81"/>
            <rFont val="Tahoma"/>
            <family val="2"/>
          </rPr>
          <t xml:space="preserve">
This is the amount you have to pay if you decide to make a claim on your policy. It’s a way of you accepting a portion of the risk yourself for some premium relief.
The amount of the excess is specified in your policy.
How does it work? 
a) If your animal dies from an insured event, and the Sum Insured is $10000. If you had a $2000 excess, you’d pay the first $2000 and the insurer would pay the remainder of $8000.
b)If you had a $0 excess the insurer would pay the full $10,000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Brendan Kelly</author>
  </authors>
  <commentList>
    <comment ref="I3" authorId="0" shapeId="0" xr:uid="{725BD348-73B8-42FD-B5E6-76C7B85D754C}">
      <text>
        <r>
          <rPr>
            <b/>
            <sz val="9"/>
            <color indexed="81"/>
            <rFont val="Tahoma"/>
            <family val="2"/>
          </rPr>
          <t>Brendan Kelly:</t>
        </r>
        <r>
          <rPr>
            <sz val="9"/>
            <color indexed="81"/>
            <rFont val="Tahoma"/>
            <family val="2"/>
          </rPr>
          <t xml:space="preserve">
There is type type of sales.  Fall of hammer/auction sales or Private (No Auction) Sales.   You will only be able to obtain a quote for Private sales as there is a further process and information required. (Vet report and Valuation)</t>
        </r>
      </text>
    </comment>
    <comment ref="I4" authorId="0" shapeId="0" xr:uid="{620614A1-2D8D-40E1-936A-A0BE6C0D3AEA}">
      <text>
        <r>
          <rPr>
            <b/>
            <sz val="9"/>
            <color indexed="81"/>
            <rFont val="Tahoma"/>
            <family val="2"/>
          </rPr>
          <t>Brendan Kelly:</t>
        </r>
        <r>
          <rPr>
            <sz val="9"/>
            <color indexed="81"/>
            <rFont val="Tahoma"/>
            <family val="2"/>
          </rPr>
          <t xml:space="preserve">
Any Auction Sales over 14 days prior will require referral.  </t>
        </r>
      </text>
    </comment>
    <comment ref="I6" authorId="0" shapeId="0" xr:uid="{6CBDAB57-BAFF-4779-BDAF-DCB68CE679B2}">
      <text>
        <r>
          <rPr>
            <b/>
            <sz val="9"/>
            <color indexed="81"/>
            <rFont val="Tahoma"/>
            <family val="2"/>
          </rPr>
          <t>Brendan Kelly:</t>
        </r>
        <r>
          <rPr>
            <sz val="9"/>
            <color indexed="81"/>
            <rFont val="Tahoma"/>
            <family val="2"/>
          </rPr>
          <t xml:space="preserve">
Bulls   -
Rams  - 
Ewes - 
Other -  referral required</t>
        </r>
      </text>
    </comment>
    <comment ref="B14" authorId="0" shapeId="0" xr:uid="{58D8D6E0-A9E5-4174-A42C-98AC3855D967}">
      <text>
        <r>
          <rPr>
            <b/>
            <sz val="9"/>
            <color indexed="81"/>
            <rFont val="Tahoma"/>
            <family val="2"/>
          </rPr>
          <t>Brendan Kelly:</t>
        </r>
        <r>
          <rPr>
            <sz val="9"/>
            <color indexed="81"/>
            <rFont val="Tahoma"/>
            <family val="2"/>
          </rPr>
          <t xml:space="preserve">
</t>
        </r>
        <r>
          <rPr>
            <b/>
            <sz val="9"/>
            <color indexed="81"/>
            <rFont val="Tahoma"/>
            <family val="2"/>
          </rPr>
          <t>What is the sum insured?</t>
        </r>
        <r>
          <rPr>
            <sz val="9"/>
            <color indexed="81"/>
            <rFont val="Tahoma"/>
            <family val="2"/>
          </rPr>
          <t xml:space="preserve">
The sum insured of any catalogue or private sale is
the purchased price (excluding GST) of the animal by the insured.
In the event of a Private sale this is to be verified in the inspector/agent report
(question 1) or by an invoice.</t>
        </r>
      </text>
    </comment>
    <comment ref="B15" authorId="0" shapeId="0" xr:uid="{C2455789-A00C-4AA7-BB11-057E999198FD}">
      <text>
        <r>
          <rPr>
            <b/>
            <sz val="9"/>
            <color indexed="81"/>
            <rFont val="Tahoma"/>
            <family val="2"/>
          </rPr>
          <t>Brendan Kelly:</t>
        </r>
        <r>
          <rPr>
            <sz val="9"/>
            <color indexed="81"/>
            <rFont val="Tahoma"/>
            <family val="2"/>
          </rPr>
          <t xml:space="preserve">
</t>
        </r>
        <r>
          <rPr>
            <b/>
            <sz val="9"/>
            <color indexed="81"/>
            <rFont val="Tahoma"/>
            <family val="2"/>
          </rPr>
          <t>What is an Excess?</t>
        </r>
        <r>
          <rPr>
            <sz val="9"/>
            <color indexed="81"/>
            <rFont val="Tahoma"/>
            <family val="2"/>
          </rPr>
          <t xml:space="preserve">
This is the amount you have to pay if you decide to make a claim on your policy. It’s a way of you accepting a portion of the risk yourself for some premium relief.
The amount of the excess is specified in your policy.
How does it work? 
a) If your animal dies from an insured event, and the Sum Insured is $10000. If you had a $2000 excess, you’d pay the first $2000 and the insurer would pay the remainder of $8000.
b)If you had a $0 excess the insurer would pay the full $10,000
</t>
        </r>
      </text>
    </comment>
    <comment ref="H21" authorId="0" shapeId="0" xr:uid="{9C779B01-6339-4140-B7CA-B8359C3C05D6}">
      <text>
        <r>
          <rPr>
            <b/>
            <sz val="9"/>
            <color indexed="81"/>
            <rFont val="Tahoma"/>
            <family val="2"/>
          </rPr>
          <t>Brendan Kelly:</t>
        </r>
        <r>
          <rPr>
            <sz val="9"/>
            <color indexed="81"/>
            <rFont val="Tahoma"/>
            <family val="2"/>
          </rPr>
          <t xml:space="preserve">
</t>
        </r>
        <r>
          <rPr>
            <b/>
            <sz val="9"/>
            <color indexed="81"/>
            <rFont val="Tahoma"/>
            <family val="2"/>
          </rPr>
          <t>What is an Excess?</t>
        </r>
        <r>
          <rPr>
            <sz val="9"/>
            <color indexed="81"/>
            <rFont val="Tahoma"/>
            <family val="2"/>
          </rPr>
          <t xml:space="preserve">
This is the amount you have to pay if you decide to make a claim on your policy. It’s a way of you accepting a portion of the risk yourself for some premium relief.
The amount of the excess is specified in your policy.
How does it work? 
a) If your animal dies from an insured event, and the Sum Insured is $10000. If you had a $2000 excess, you’d pay the first $2000 and the insurer would pay the remainder of $8000.
b)If you had a $0 excess the insurer would pay the full $10,000
</t>
        </r>
      </text>
    </comment>
    <comment ref="H22" authorId="0" shapeId="0" xr:uid="{CE8CFFD9-BF16-4303-B696-6DBCD31D1913}">
      <text>
        <r>
          <rPr>
            <b/>
            <sz val="9"/>
            <color indexed="81"/>
            <rFont val="Tahoma"/>
            <family val="2"/>
          </rPr>
          <t>Brendan Kelly:</t>
        </r>
        <r>
          <rPr>
            <sz val="9"/>
            <color indexed="81"/>
            <rFont val="Tahoma"/>
            <family val="2"/>
          </rPr>
          <t xml:space="preserve">
</t>
        </r>
        <r>
          <rPr>
            <b/>
            <sz val="9"/>
            <color indexed="81"/>
            <rFont val="Tahoma"/>
            <family val="2"/>
          </rPr>
          <t>What is an Excess?</t>
        </r>
        <r>
          <rPr>
            <sz val="9"/>
            <color indexed="81"/>
            <rFont val="Tahoma"/>
            <family val="2"/>
          </rPr>
          <t xml:space="preserve">
This is the amount you have to pay if you decide to make a claim on your policy. It’s a way of you accepting a portion of the risk yourself for some premium relief.
The amount of the excess is specified in your policy.
How does it work? 
a) If your animal dies from an insured event, and the Sum Insured is $10000. If you had a $2000 excess, you’d pay the first $2000 and the insurer would pay the remainder of $8000.
b)If you had a $0 excess the insurer would pay the full $10,000
</t>
        </r>
      </text>
    </comment>
    <comment ref="H23" authorId="0" shapeId="0" xr:uid="{C82E75DB-B12F-4CFB-93E9-41756342C4B1}">
      <text>
        <r>
          <rPr>
            <b/>
            <sz val="9"/>
            <color indexed="81"/>
            <rFont val="Tahoma"/>
            <family val="2"/>
          </rPr>
          <t>Brendan Kelly:</t>
        </r>
        <r>
          <rPr>
            <sz val="9"/>
            <color indexed="81"/>
            <rFont val="Tahoma"/>
            <family val="2"/>
          </rPr>
          <t xml:space="preserve">
</t>
        </r>
        <r>
          <rPr>
            <b/>
            <sz val="9"/>
            <color indexed="81"/>
            <rFont val="Tahoma"/>
            <family val="2"/>
          </rPr>
          <t>What is an Excess?</t>
        </r>
        <r>
          <rPr>
            <sz val="9"/>
            <color indexed="81"/>
            <rFont val="Tahoma"/>
            <family val="2"/>
          </rPr>
          <t xml:space="preserve">
This is the amount you have to pay if you decide to make a claim on your policy. It’s a way of you accepting a portion of the risk yourself for some premium relief.
The amount of the excess is specified in your policy.
How does it work? 
a) If your animal dies from an insured event, and the Sum Insured is $10000. If you had a $2000 excess, you’d pay the first $2000 and the insurer would pay the remainder of $8000.
b)If you had a $0 excess the insurer would pay the full $10,000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<sst xmlns="http://schemas.openxmlformats.org/spreadsheetml/2006/main" count="1607" uniqueCount="438">
  <si>
    <t>Animal Type</t>
  </si>
  <si>
    <t>Cover Type</t>
  </si>
  <si>
    <t>Type of Sale</t>
  </si>
  <si>
    <t>Private</t>
  </si>
  <si>
    <t>Auction - Catalogue</t>
  </si>
  <si>
    <t xml:space="preserve">Stud - Livestock </t>
  </si>
  <si>
    <t>Bull</t>
  </si>
  <si>
    <t>Cow</t>
  </si>
  <si>
    <t>Ram</t>
  </si>
  <si>
    <t>Ewe</t>
  </si>
  <si>
    <t>VIC</t>
  </si>
  <si>
    <t>NSW</t>
  </si>
  <si>
    <t>QLD</t>
  </si>
  <si>
    <t>WA</t>
  </si>
  <si>
    <t>TAS</t>
  </si>
  <si>
    <t>ACT</t>
  </si>
  <si>
    <t>NT</t>
  </si>
  <si>
    <t>Value</t>
  </si>
  <si>
    <t>Premium</t>
  </si>
  <si>
    <t xml:space="preserve">if "NO" refer   - default is "Yes"  </t>
  </si>
  <si>
    <t>YES</t>
  </si>
  <si>
    <t>NO</t>
  </si>
  <si>
    <t>Underwriting information/disclosure</t>
  </si>
  <si>
    <t>In the past 5 years,have you made any insurance claims for livestock?</t>
  </si>
  <si>
    <t>Are you aware of any contagious or infectious diseases at the Situation or within the surrounding area of the Situation?</t>
  </si>
  <si>
    <t>Do you with to add "Theft" cover?</t>
  </si>
  <si>
    <t xml:space="preserve">if "yes" for questions </t>
  </si>
  <si>
    <t xml:space="preserve">In the last 10 years  : </t>
  </si>
  <si>
    <t>have you ever had an insurance policy declined or cancelled, or claim rejected?</t>
  </si>
  <si>
    <t>Declaration</t>
  </si>
  <si>
    <t>• on requesting cover on this policy will read the Important Information relating to this insurance attached to this application;</t>
  </si>
  <si>
    <t>• Declare everything on this application to be true and correct and I/We have not withheld any relevant information.</t>
  </si>
  <si>
    <t>I/We:</t>
  </si>
  <si>
    <t>GST</t>
  </si>
  <si>
    <t>Stamp Duty</t>
  </si>
  <si>
    <t>Total Premium</t>
  </si>
  <si>
    <t xml:space="preserve">Do you wish to take a 20% excess of the value of each animal to reduce premium? </t>
  </si>
  <si>
    <t>Excess</t>
  </si>
  <si>
    <t>Insured Name</t>
  </si>
  <si>
    <t>(option to add additional insured)</t>
  </si>
  <si>
    <t>Situation Address</t>
  </si>
  <si>
    <t>Notes</t>
  </si>
  <si>
    <t xml:space="preserve">if "other" refer </t>
  </si>
  <si>
    <t>Animal destination (State only)</t>
  </si>
  <si>
    <t xml:space="preserve">gives the optons based on number selected </t>
  </si>
  <si>
    <t>SA</t>
  </si>
  <si>
    <t>used for Stamp duty calculation</t>
  </si>
  <si>
    <t xml:space="preserve">Rates </t>
  </si>
  <si>
    <t>Policy Type</t>
  </si>
  <si>
    <t>6 Months</t>
  </si>
  <si>
    <t>Mortality &amp; Loss of Use</t>
  </si>
  <si>
    <t>Mortality</t>
  </si>
  <si>
    <t xml:space="preserve">12 months </t>
  </si>
  <si>
    <t>CGU</t>
  </si>
  <si>
    <t>RA</t>
  </si>
  <si>
    <t xml:space="preserve">"Loss of use cover" available for Bull &amp; RAM animal type only </t>
  </si>
  <si>
    <t>Cover Period</t>
  </si>
  <si>
    <t>Type</t>
  </si>
  <si>
    <t xml:space="preserve">THEFT </t>
  </si>
  <si>
    <t>Calculations</t>
  </si>
  <si>
    <t>Rate</t>
  </si>
  <si>
    <t>Theft</t>
  </si>
  <si>
    <t xml:space="preserve">theft </t>
  </si>
  <si>
    <t xml:space="preserve">Overall Rate </t>
  </si>
  <si>
    <t xml:space="preserve">12 Months </t>
  </si>
  <si>
    <t>Twelve Months</t>
  </si>
  <si>
    <t xml:space="preserve">Six Months </t>
  </si>
  <si>
    <t xml:space="preserve">diff rates </t>
  </si>
  <si>
    <t xml:space="preserve">5.5% loading if required to be used </t>
  </si>
  <si>
    <t xml:space="preserve">Options to add Categlogue photos only required in Quote to be bound </t>
  </si>
  <si>
    <t>TRANSIT INSURANCE ONLY</t>
  </si>
  <si>
    <t>For Transit insurance cover needs to refer in any individual animal goes over $20,000</t>
  </si>
  <si>
    <t>minumum base premium</t>
  </si>
  <si>
    <t xml:space="preserve">Theft Question Applies to Rural Affinity pricing only and additional rates .  Questions deletes if CGU used or Transit Cover selected </t>
  </si>
  <si>
    <t xml:space="preserve">20% excess option applies to Rural Affinity pricing only and 20% reduction in rates.  Question deletes if CGU used or transit only cover selected </t>
  </si>
  <si>
    <t>Insured Email Address</t>
  </si>
  <si>
    <t>transit only ref</t>
  </si>
  <si>
    <t xml:space="preserve">needs to refer if more than 2 claims </t>
  </si>
  <si>
    <t>if "yes" area for details Appears and referral</t>
  </si>
  <si>
    <t xml:space="preserve">if "private sale" will be quote only and email appropriate docs, subject to full application and documents </t>
  </si>
  <si>
    <t>if over 14 days refer AND WILL BE A QUOTE ONLY</t>
  </si>
  <si>
    <t>manditory for Stud Product</t>
  </si>
  <si>
    <t xml:space="preserve">the number of spots apprears based on the number of lots selected </t>
  </si>
  <si>
    <t>Quote , but subject to referral if answer is "Yes"</t>
  </si>
  <si>
    <t>final Rate taking into consideration of any animals over $30k and appliying the 5.5% CGU product loading</t>
  </si>
  <si>
    <t xml:space="preserve">Option to save as quote and email/text to all approriate parties </t>
  </si>
  <si>
    <t>Over 1500km</t>
  </si>
  <si>
    <t>Stud Stock</t>
  </si>
  <si>
    <t>Under 1500km</t>
  </si>
  <si>
    <t xml:space="preserve">Stud </t>
  </si>
  <si>
    <t>Under 1500</t>
  </si>
  <si>
    <t xml:space="preserve">When transit seelvted a further option appears on the type of transit </t>
  </si>
  <si>
    <t>minimum premium for any transaction is $910 base premium</t>
  </si>
  <si>
    <t>referal for any animals over $35,000</t>
  </si>
  <si>
    <t xml:space="preserve">Insurer : </t>
  </si>
  <si>
    <t>Important information</t>
  </si>
  <si>
    <t>Who can distribute this application card?</t>
  </si>
  <si>
    <t>Any broker authorised by Rural Affinity in writing.</t>
  </si>
  <si>
    <t>Where and when does this card need to be sent?</t>
  </si>
  <si>
    <t>The application, catalogue cover and relevant catalogue pages with</t>
  </si>
  <si>
    <t>animal details must be sent to Rural Affinity immediately following the</t>
  </si>
  <si>
    <t>sale. Any delay may result in the policy resorting to a private sale</t>
  </si>
  <si>
    <t>application process or there being no cover in place.</t>
  </si>
  <si>
    <t>What stamp duty applies?</t>
  </si>
  <si>
    <t>The address where the animal is to be located (Situation) will</t>
  </si>
  <si>
    <t>determine the stamp duty applicable.</t>
  </si>
  <si>
    <t>What is the sum insured?</t>
  </si>
  <si>
    <t>The sum insured is the purchase price of the animal paid by the</t>
  </si>
  <si>
    <t>insured.</t>
  </si>
  <si>
    <t>What age restrictions are applicable?</t>
  </si>
  <si>
    <t>• Cattle – minimum 6 months, maximum rising 7 years</t>
  </si>
  <si>
    <t>• Sheep – minimum 6 months, maximum rising 4 years.</t>
  </si>
  <si>
    <t>When does cover take effect?</t>
  </si>
  <si>
    <t>From fall of hammer on the day of sale, provided:</t>
  </si>
  <si>
    <t>Cancellation</t>
  </si>
  <si>
    <t>• You will still be required to pay the full premium if You cancel the</t>
  </si>
  <si>
    <t>policy.</t>
  </si>
  <si>
    <t>• We may cancel the policy if the answers provided in this card are</t>
  </si>
  <si>
    <t>incomplete or incorrect or You have answered ‘yes’ to any of the</t>
  </si>
  <si>
    <t>‘Underwriting information/disclosure questions’ in this card.</t>
  </si>
  <si>
    <t>Who is Rural Affinity?</t>
  </si>
  <si>
    <t>Rural Affinity Insurance Agency Pty Ltd (“Rural Affinity”)</t>
  </si>
  <si>
    <t>ABN 72 119 838 854 AFS Licence No. 302182 is an underwriting</t>
  </si>
  <si>
    <t>agent. Rural Affinity arranges policies for and on behalf the Insurer.</t>
  </si>
  <si>
    <t>Rural Affinity acts under a binding authority given to it by the Insurer to</t>
  </si>
  <si>
    <t>administer and issue policies, alterations and renewals. In everything</t>
  </si>
  <si>
    <t>to do with this Policy, Rural Affinity acts as an agent for the Insurer</t>
  </si>
  <si>
    <t>and not for You.</t>
  </si>
  <si>
    <t>The contact details for Rural Affinity are:</t>
  </si>
  <si>
    <t>Level 4, 657 Pacific Hwy, St Leonards NSW 2065</t>
  </si>
  <si>
    <t>PO Box 160, St Leonards NSW 1590</t>
  </si>
  <si>
    <t>T (02) 9496 9300 | www.ruralaffinity.com.au</t>
  </si>
  <si>
    <t>Who is the Insurer?</t>
  </si>
  <si>
    <t>This insurance policy is underwritten and issued by Great Lakes</t>
  </si>
  <si>
    <t>Australia Insurance SE (ARBN 127 740 532, ABN 18 964 580 576,</t>
  </si>
  <si>
    <t>AFSL 318603) trading as ‘Great Lakes Australia’.</t>
  </si>
  <si>
    <t>More information regarding the insurer can be found on our website</t>
  </si>
  <si>
    <t>at www.ruralaffinity.com.au/about-the-insurer.</t>
  </si>
  <si>
    <t>General Insurance Code of Practice</t>
  </si>
  <si>
    <t>Great Lakes Australia is a signatory to the General Insurance Code</t>
  </si>
  <si>
    <t>of Practice (‘the Code’). The Code aims to raise standards of service</t>
  </si>
  <si>
    <t>between insurers and their customers. Rural Affinity’s service standards</t>
  </si>
  <si>
    <t>are in accordance with the Code.</t>
  </si>
  <si>
    <t>For any information about the Code, including a copy of the Code,</t>
  </si>
  <si>
    <t>contact Us or visit www.codeofpractice.com.au.</t>
  </si>
  <si>
    <t>Your Duty of Disclosure</t>
  </si>
  <si>
    <t>This policy is subject to the Insurance Contracts Act 1984 (Act).</t>
  </si>
  <si>
    <t>Under that Act You have a Duty of Disclosure.</t>
  </si>
  <si>
    <t>Before You take out insurance with Us, You have a duty to tell Us of</t>
  </si>
  <si>
    <t>everything that You know, or could reasonably be expected to know,</t>
  </si>
  <si>
    <t>may affect Our decision to insure You and on what terms. If You are</t>
  </si>
  <si>
    <t>not sure whether something is relevant You should inform Us anyway.</t>
  </si>
  <si>
    <t>You have the same duty to inform Us of those matters before You</t>
  </si>
  <si>
    <t>renew, extend, vary, or reinstate Your contract of insurance. The duty</t>
  </si>
  <si>
    <t>applies until the policy is entered into, or where relevant, renewed,</t>
  </si>
  <si>
    <t>extended, varied or reinstated (Relevant Time). You need to tell Us</t>
  </si>
  <si>
    <t>immediately of any new information or changes to the answers that</t>
  </si>
  <si>
    <t>have been provided to Us and/or the disclosures You have made to</t>
  </si>
  <si>
    <t>Us throughout the Policy Period.</t>
  </si>
  <si>
    <t>What You do not need to tell Us</t>
  </si>
  <si>
    <t>You do not need to tell Us about any matter:</t>
  </si>
  <si>
    <t>1. that diminishes Our risk;</t>
  </si>
  <si>
    <t>2. that is of common knowledge;</t>
  </si>
  <si>
    <t>3. that We know or should know as an insurer; or</t>
  </si>
  <si>
    <t>4. that We tell You We do not need to know.</t>
  </si>
  <si>
    <t>Who does the duty apply to?</t>
  </si>
  <si>
    <t>Everyone who is insured under this policy must comply with the duty.</t>
  </si>
  <si>
    <t>What happens if You or they do not comply with the duty?</t>
  </si>
  <si>
    <t>If You or they do not comply with this duty, We may cancel the</t>
  </si>
  <si>
    <t>policy or reduce the amount We pay if You make a claim. If the</t>
  </si>
  <si>
    <t>non-disclosure is fraudulent, We may treat the policy as if it never</t>
  </si>
  <si>
    <t>existed and pay nothing.</t>
  </si>
  <si>
    <t>Privacy</t>
  </si>
  <si>
    <t>We are committed to the safe and careful use of Your personal</t>
  </si>
  <si>
    <t>the Australian Privacy Principles and the terms of this Policy. In this</t>
  </si>
  <si>
    <t>privacy section, “We”, “Us” and “Our” means the insurer and Rural</t>
  </si>
  <si>
    <t>Affinity as applicable.</t>
  </si>
  <si>
    <t>We and Rural Affinity collect Your personal information in order to</t>
  </si>
  <si>
    <t>assess Your application for insurance and, if Your application is</t>
  </si>
  <si>
    <t>accepted, to administer and manage Your insurance policy and respond</t>
  </si>
  <si>
    <t>to any claim that You make. To do this, Your personal information may</t>
  </si>
  <si>
    <t>need to be disclosed to reinsurers and service providers and related</t>
  </si>
  <si>
    <t>entities who carry out activities on Our and Rural Affinity’s behalf,</t>
  </si>
  <si>
    <t>such as assessors and facilitators, some of whom may be located in</t>
  </si>
  <si>
    <t>overseas countries. Our and Rural Affinity’s contractual arrangements</t>
  </si>
  <si>
    <t>generally include an obligation for these reinsurers, service providers</t>
  </si>
  <si>
    <t>and related entities to comply with Australian privacy laws.</t>
  </si>
  <si>
    <t>By providing Us and Rural Affinity with Your personal information, You</t>
  </si>
  <si>
    <t>consent to the disclosure of Your personal information to reinsurers,</t>
  </si>
  <si>
    <t>service providers and related entities in overseas countries to enable</t>
  </si>
  <si>
    <t>Us and Rural Affinity to assess Your application, to administer and</t>
  </si>
  <si>
    <t>manage Your insurance policy and to respond to any claim that You</t>
  </si>
  <si>
    <t>make. If You consent to the disclosure of Your personal information to</t>
  </si>
  <si>
    <t>overseas recipients, and the overseas recipient handles Your personal</t>
  </si>
  <si>
    <t>information in a way other than in accordance with the Australian</t>
  </si>
  <si>
    <t>privacy laws, We and Rural Affinity may not be responsible for the</t>
  </si>
  <si>
    <t>handling of Your personal information by the overseas recipient.</t>
  </si>
  <si>
    <t>If You choose not to provide Your personal information and/or choose</t>
  </si>
  <si>
    <t>not to consent and/or withdraw Your consent to the disclosure of Your</t>
  </si>
  <si>
    <t>personal information to overseas entities at any stage, We and/or Rural</t>
  </si>
  <si>
    <t>Affinity may not be able to assess Your application or administer and</t>
  </si>
  <si>
    <t>manage Your insurance policy and respond to any claim that You make</t>
  </si>
  <si>
    <t>information in the manner required by the Privacy Act 1988 (Cth),</t>
  </si>
  <si>
    <t>Our and Rural Affinity’s privacy policies explain how You may access</t>
  </si>
  <si>
    <t>personal information that each of us holds, how to seek correction of</t>
  </si>
  <si>
    <t>Your personal information, how to make a complaint about the handling</t>
  </si>
  <si>
    <t>of Your personal information and how complaints are handled. If You</t>
  </si>
  <si>
    <t>require more information, You can access Rural Affinity’s Privacy Policy</t>
  </si>
  <si>
    <t>at www.ruralaffinity.com.au/privacy and the insurer’s Privacy Policy</t>
  </si>
  <si>
    <t>and Privacy Statement at www.munichre.com/gla/en/about-us.html.</t>
  </si>
  <si>
    <t>Dispute resolution</t>
  </si>
  <si>
    <t>Any complaints about Our products or services are taken seriously</t>
  </si>
  <si>
    <t>by Us and Rural Affinity and will be dealt with fairly and promptly.</t>
  </si>
  <si>
    <t>If You have a complaint please first try to resolve it by speaking to the</t>
  </si>
  <si>
    <t>relevant member of the Rural Affinity staff. Rural Affinity can assist by</t>
  </si>
  <si>
    <t>referring the matter to their Internal Dispute Resolution Officer.</t>
  </si>
  <si>
    <t>You can contact Rural Affinity by:</t>
  </si>
  <si>
    <t>Phone: (02) 9496 9300</t>
  </si>
  <si>
    <t>Email: disputes@ruralaffinity.com.au</t>
  </si>
  <si>
    <t>If Rural Affinity require additional information, they will contact You to</t>
  </si>
  <si>
    <t>discuss. If Your complaint is not immediately resolved Rural Affinity</t>
  </si>
  <si>
    <t>will respond within 15 business days of receipt of Your complaint or</t>
  </si>
  <si>
    <t>agree a reasonable alternative timetable with You.</t>
  </si>
  <si>
    <t>If You are not satisfied with the resolution offered by Rural Affinity’s</t>
  </si>
  <si>
    <t>Internal Dispute Resolution Officer, Your complaint will be referred to the</t>
  </si>
  <si>
    <t>Dispute Resolution officer or their delegate at Great Lakes Australia.</t>
  </si>
  <si>
    <t>You can also contact Great Lakes Australia by:</t>
  </si>
  <si>
    <t>Email: disputes@gla.com.au</t>
  </si>
  <si>
    <t>Mail: Disputes Resolution Officer, Great Lakes Australia</t>
  </si>
  <si>
    <t>PO Box H35, Australia Square NSW 1215</t>
  </si>
  <si>
    <t>If We are unable to resolve Your complaint within 45 days of the date</t>
  </si>
  <si>
    <t>We first received Your complaint or if You remain unsatisfied, You can/</t>
  </si>
  <si>
    <t>may be able to seek a free review by the Australian Financial Complaints</t>
  </si>
  <si>
    <t>Authority (AFCA). The AFCA is an independent national body and, if</t>
  </si>
  <si>
    <t>the dispute is within its jurisdiction, We agree to accept its decision.</t>
  </si>
  <si>
    <t>You can visit their website www.afca.org.au or contact them:</t>
  </si>
  <si>
    <t>Phone: 1800 931 678</t>
  </si>
  <si>
    <t>Email: info@afca.org.au</t>
  </si>
  <si>
    <t>Mail: GPO Box 3, Melbourne VIC 3001</t>
  </si>
  <si>
    <t>Further details regarding Our complaints process are available on</t>
  </si>
  <si>
    <t>request</t>
  </si>
  <si>
    <t>Important Conditions</t>
  </si>
  <si>
    <t>In Your policy wording there are conditions which may impact the</t>
  </si>
  <si>
    <t>size of a claim or affect the amount of the premium We will charge.</t>
  </si>
  <si>
    <t>These conditions are explained in the general conditions section of</t>
  </si>
  <si>
    <t>Your policy wording.</t>
  </si>
  <si>
    <t>Fax:    (02) 9496 9308</t>
  </si>
  <si>
    <t>Mail:   Internal Disputes Resolution Officer, Rural Affinity
PO Box 160, St Leonards NSW 1590</t>
  </si>
  <si>
    <t xml:space="preserve">info about sum insured </t>
  </si>
  <si>
    <t xml:space="preserve">info about excess </t>
  </si>
  <si>
    <t>Lot</t>
  </si>
  <si>
    <t xml:space="preserve">Lot </t>
  </si>
  <si>
    <t>TOTAL Value</t>
  </si>
  <si>
    <t>Any additional information to any questions above : -</t>
  </si>
  <si>
    <t>ABN</t>
  </si>
  <si>
    <t>Postal</t>
  </si>
  <si>
    <t>(if different)</t>
  </si>
  <si>
    <t>Phone</t>
  </si>
  <si>
    <t>Interested Parties  (if any)</t>
  </si>
  <si>
    <t>Signature : -</t>
  </si>
  <si>
    <t xml:space="preserve">Date :  - </t>
  </si>
  <si>
    <t xml:space="preserve">Sales Venue </t>
  </si>
  <si>
    <t xml:space="preserve">rma network agent details </t>
  </si>
  <si>
    <t xml:space="preserve">been convicted of or have charges pending of any crime involving drugs, theft, fraud, </t>
  </si>
  <si>
    <t>dishonesty or violence against any person or property?</t>
  </si>
  <si>
    <t xml:space="preserve">Application details </t>
  </si>
  <si>
    <t xml:space="preserve">• Agree that when this application card is accepted by the Insurer, cover is bound and cover cannot be cancelled and </t>
  </si>
  <si>
    <t>I/We agree to pay the premium quoted;</t>
  </si>
  <si>
    <t xml:space="preserve">• on requesting cover on this policy will received a copy of the Livestock Policy Wording and agree to accept the insurance </t>
  </si>
  <si>
    <t>subject to the terms, conditions and limitations of this policy, including the general conditions;</t>
  </si>
  <si>
    <t xml:space="preserve">*Maximum Sum Insured per animal is $70,000. </t>
  </si>
  <si>
    <t xml:space="preserve">Stamp Duty - Location </t>
  </si>
  <si>
    <t xml:space="preserve">Insurers </t>
  </si>
  <si>
    <t xml:space="preserve">Rural Affinity Insurance </t>
  </si>
  <si>
    <t>Rural Affinity Insurance Agency Pty Ltd</t>
  </si>
  <si>
    <t>ABN 72 119 838 854  AFS Licence No. 302182</t>
  </si>
  <si>
    <t>Underwritten by Great Lakes Insurance SE  trading as Great Lakes Australia (ARBN 127 740 532, ABN 18 964 580 576, AFSL 318603)</t>
  </si>
  <si>
    <t>*Rams - Mortality plus Loss of use accident, please contact RMA Insurance Brokers</t>
  </si>
  <si>
    <t>The sum insured is the purchase price of the animal paid by the insured.</t>
  </si>
  <si>
    <t>Total Sum Insured</t>
  </si>
  <si>
    <t>Add GST 10.00%</t>
  </si>
  <si>
    <t>SUB TOTAL</t>
  </si>
  <si>
    <t>Add SD @ %**</t>
  </si>
  <si>
    <t>TOTAL</t>
  </si>
  <si>
    <t>$</t>
  </si>
  <si>
    <t>Premium @	%
Note minimum premium $910 + SD and GST</t>
  </si>
  <si>
    <t>Calculation formula (premiums over $910)</t>
  </si>
  <si>
    <t xml:space="preserve">The address where the animal is to be located (Situation) will determine the stamp </t>
  </si>
  <si>
    <t>duty applicable.</t>
  </si>
  <si>
    <t>the day of sale and no loss has occurred prior to signing the card.</t>
  </si>
  <si>
    <r>
      <rPr>
        <b/>
        <sz val="12"/>
        <color rgb="FFFFFFFF"/>
        <rFont val="Calibri"/>
        <family val="2"/>
      </rPr>
      <t>CATEGORY</t>
    </r>
  </si>
  <si>
    <r>
      <rPr>
        <b/>
        <sz val="12"/>
        <color rgb="FFFFFFFF"/>
        <rFont val="Calibri"/>
        <family val="2"/>
      </rPr>
      <t>COVER</t>
    </r>
  </si>
  <si>
    <r>
      <rPr>
        <sz val="12"/>
        <color rgb="FFFFFFFF"/>
        <rFont val="Calibri"/>
        <family val="2"/>
      </rPr>
      <t>PERIOD OF COVER</t>
    </r>
  </si>
  <si>
    <r>
      <rPr>
        <sz val="12"/>
        <color rgb="FFFFFFFF"/>
        <rFont val="Calibri"/>
        <family val="2"/>
      </rPr>
      <t>6 mths</t>
    </r>
  </si>
  <si>
    <r>
      <rPr>
        <sz val="12"/>
        <color rgb="FFFFFFFF"/>
        <rFont val="Calibri"/>
        <family val="2"/>
      </rPr>
      <t>12 mths</t>
    </r>
  </si>
  <si>
    <r>
      <rPr>
        <sz val="12"/>
        <color rgb="FF231F20"/>
        <rFont val="Calibri"/>
        <family val="2"/>
      </rPr>
      <t>Cattle - Bulls</t>
    </r>
  </si>
  <si>
    <r>
      <rPr>
        <sz val="12"/>
        <color rgb="FF231F20"/>
        <rFont val="Calibri"/>
        <family val="2"/>
      </rPr>
      <t>Mortality</t>
    </r>
  </si>
  <si>
    <r>
      <rPr>
        <sz val="12"/>
        <color rgb="FF231F20"/>
        <rFont val="Calibri"/>
        <family val="2"/>
      </rPr>
      <t>Mortality &amp; Loss of use</t>
    </r>
  </si>
  <si>
    <r>
      <rPr>
        <sz val="12"/>
        <color rgb="FF231F20"/>
        <rFont val="Calibri"/>
        <family val="2"/>
      </rPr>
      <t>Cattle - Cows &amp; Other</t>
    </r>
  </si>
  <si>
    <r>
      <rPr>
        <sz val="12"/>
        <color rgb="FF231F20"/>
        <rFont val="Calibri"/>
        <family val="2"/>
      </rPr>
      <t>Sheep - Rams*</t>
    </r>
  </si>
  <si>
    <r>
      <rPr>
        <sz val="12"/>
        <color rgb="FF231F20"/>
        <rFont val="Calibri"/>
        <family val="2"/>
      </rPr>
      <t>Sheep - Ewes</t>
    </r>
  </si>
  <si>
    <r>
      <rPr>
        <sz val="12"/>
        <color rgb="FF231F20"/>
        <rFont val="Calibri"/>
        <family val="2"/>
      </rPr>
      <t>All</t>
    </r>
  </si>
  <si>
    <r>
      <rPr>
        <sz val="12"/>
        <color rgb="FF231F20"/>
        <rFont val="Calibri"/>
        <family val="2"/>
      </rPr>
      <t>Theft (not available as stand alone cover)</t>
    </r>
  </si>
  <si>
    <t>•  Cattle – minimum 6 months, maximum rising 7 years</t>
  </si>
  <si>
    <t>•  Sheep – minimum 6 months, maximum rising 4 years.</t>
  </si>
  <si>
    <t xml:space="preserve">•  the application card has been signed and dated by the insured (or their agent) on </t>
  </si>
  <si>
    <t>•  You will still be required to pay the full premium if You cancel the policy.</t>
  </si>
  <si>
    <t xml:space="preserve">•  We may cancel the policy if the answers provided in this card are incomplete or </t>
  </si>
  <si>
    <t xml:space="preserve">incorrect or You have answered ‘yes’ to any of the ‘Underwriting information/disclosure </t>
  </si>
  <si>
    <t>questions’ in this card.</t>
  </si>
  <si>
    <t xml:space="preserve">Are all animals over 6 month old, and under 7 years (Cattle) 4 year (Sheep) of age? </t>
  </si>
  <si>
    <t xml:space="preserve">*$11 Underwriter/Broker fee aplies to each policy.  ($10 plus GST) </t>
  </si>
  <si>
    <t>Fee</t>
  </si>
  <si>
    <t xml:space="preserve">CGU </t>
  </si>
  <si>
    <t xml:space="preserve">theft loading </t>
  </si>
  <si>
    <t xml:space="preserve">excess discount </t>
  </si>
  <si>
    <t>CGU loading</t>
  </si>
  <si>
    <t>Other</t>
  </si>
  <si>
    <t xml:space="preserve">info </t>
  </si>
  <si>
    <t>info about sales</t>
  </si>
  <si>
    <t>info about animals</t>
  </si>
  <si>
    <t>info about dates</t>
  </si>
  <si>
    <t>Prem</t>
  </si>
  <si>
    <t>min</t>
  </si>
  <si>
    <t>Do you wish to take a 20% excess of the value of each animal to reduce premium?</t>
  </si>
  <si>
    <t>Date of Sale (can change)</t>
  </si>
  <si>
    <t>occurring on the Acceptance Date, cover will begin at the time of purchase.</t>
  </si>
  <si>
    <t>2. Otherwise, cover will begin 24 hours after 9am on
the Acceptance Date.</t>
  </si>
  <si>
    <r>
      <rPr>
        <b/>
        <sz val="9"/>
        <color rgb="FF231F20"/>
        <rFont val="Calibri"/>
        <family val="2"/>
        <scheme val="minor"/>
      </rPr>
      <t>Accident; or Theft (if selected)</t>
    </r>
    <r>
      <rPr>
        <sz val="9"/>
        <color rgb="FF231F20"/>
        <rFont val="Calibri"/>
        <family val="2"/>
        <scheme val="minor"/>
      </rPr>
      <t>, 1. For Livestock purchased at a Livestock Auction</t>
    </r>
  </si>
  <si>
    <r>
      <rPr>
        <b/>
        <sz val="9"/>
        <color rgb="FF231F20"/>
        <rFont val="Calibri"/>
        <family val="2"/>
        <scheme val="minor"/>
      </rPr>
      <t>Illness or Disease</t>
    </r>
    <r>
      <rPr>
        <sz val="9"/>
        <color rgb="FF231F20"/>
        <rFont val="Calibri"/>
        <family val="2"/>
        <scheme val="minor"/>
      </rPr>
      <t>, 14 days after 9am on the Acceptance Date</t>
    </r>
  </si>
  <si>
    <t>Underwriter Fee $75 + GST</t>
  </si>
  <si>
    <t xml:space="preserve">Livestock Insurance  - Quote </t>
  </si>
  <si>
    <t>LIVESTOCK INSURANCE</t>
  </si>
  <si>
    <t>Sale</t>
  </si>
  <si>
    <t>Date</t>
  </si>
  <si>
    <t>Insured</t>
  </si>
  <si>
    <t>Address</t>
  </si>
  <si>
    <t>Please note we will be unable to provide cover if any questions are</t>
  </si>
  <si>
    <t>answered “no” in the above.</t>
  </si>
  <si>
    <t>Loss of Use Accident</t>
  </si>
  <si>
    <t>Lot Number</t>
  </si>
  <si>
    <t>DOB</t>
  </si>
  <si>
    <t>Brand Tattoo</t>
  </si>
  <si>
    <t>Sum Insured</t>
  </si>
  <si>
    <t>Total Base Premium</t>
  </si>
  <si>
    <t>GST @ 10%</t>
  </si>
  <si>
    <t>Sub Total</t>
  </si>
  <si>
    <t>TOTAL PREMIUM</t>
  </si>
  <si>
    <t>1.             </t>
  </si>
  <si>
    <t>2.             </t>
  </si>
  <si>
    <t>3.             </t>
  </si>
  <si>
    <t>4.             </t>
  </si>
  <si>
    <t>5.             </t>
  </si>
  <si>
    <t>Email</t>
  </si>
  <si>
    <t xml:space="preserve">Declaration – Must be completed by the applicant. </t>
  </si>
  <si>
    <t>I / we declare that:</t>
  </si>
  <si>
    <t>I confirm that the sum proposed for insurance represents their full value and is no more than the purchase price.</t>
  </si>
  <si>
    <t>Have you had 2 or more livestock Insurance claims in the past 5 years?</t>
  </si>
  <si>
    <t>Broker Fee (Inc GST)</t>
  </si>
  <si>
    <t>RAMS</t>
  </si>
  <si>
    <t>BULLS</t>
  </si>
  <si>
    <t>GOATS</t>
  </si>
  <si>
    <t>EWES</t>
  </si>
  <si>
    <t>COWS</t>
  </si>
  <si>
    <t>12M</t>
  </si>
  <si>
    <t>6M</t>
  </si>
  <si>
    <t>More 50</t>
  </si>
  <si>
    <t>Less 50</t>
  </si>
  <si>
    <t>Time</t>
  </si>
  <si>
    <t>Cover</t>
  </si>
  <si>
    <t xml:space="preserve">Rate </t>
  </si>
  <si>
    <t xml:space="preserve">Code </t>
  </si>
  <si>
    <t>Preferred Claim Excess</t>
  </si>
  <si>
    <t>Code</t>
  </si>
  <si>
    <t>Stamp</t>
  </si>
  <si>
    <t>Total</t>
  </si>
  <si>
    <t>Options</t>
  </si>
  <si>
    <t xml:space="preserve">Mortality only for - </t>
  </si>
  <si>
    <t>Loss of Use Accident &amp; Illness</t>
  </si>
  <si>
    <t>All State</t>
  </si>
  <si>
    <t xml:space="preserve">RA Rates </t>
  </si>
  <si>
    <t>Check</t>
  </si>
  <si>
    <t xml:space="preserve">RA Fee </t>
  </si>
  <si>
    <t>c)  Been convicted and or charged with an offence involving fraud, dishonesty, arson, intentional damage or criminal offences?</t>
  </si>
  <si>
    <t>d)  Had a claim or loss incident (or aware of loss incident or claim yet to be notified) for any of the section’s selected?</t>
  </si>
  <si>
    <t>e)  Has there been any evidence of contagious or infectious disease at the farm where the animal(s) is/are kept or neighbouring farms in the last 5 years?</t>
  </si>
  <si>
    <t>Mortality - Cows inc Parturition</t>
  </si>
  <si>
    <t>U/W Fee</t>
  </si>
  <si>
    <t xml:space="preserve">rma network agent </t>
  </si>
  <si>
    <t xml:space="preserve">I understand that Underwriters have relied on information within this document. </t>
  </si>
  <si>
    <t>I understand that I must take care when answering any questions asked by the Underwriters by ensuring that all information provided is accurate and complete.</t>
  </si>
  <si>
    <t>Policy Excess</t>
  </si>
  <si>
    <t xml:space="preserve">In the past 5 years had a claim or loss incident (or aware of loss incident or claim yet to be notified) </t>
  </si>
  <si>
    <t>for any of the section’s selected?</t>
  </si>
  <si>
    <t xml:space="preserve">Are you aware of any contagious or infectious diseases at the Situation </t>
  </si>
  <si>
    <t>or within the surrounding area of the Situation?</t>
  </si>
  <si>
    <t xml:space="preserve">In the last 5 years  : </t>
  </si>
  <si>
    <t>Have you or any partner or director been declined insurance or had a special condition imposed?</t>
  </si>
  <si>
    <t xml:space="preserve">been declared bankrupt or involved in a business which has been declared bankrupt, </t>
  </si>
  <si>
    <t>become insolvent or subject to voluntary administration?</t>
  </si>
  <si>
    <t>In the last 5 years have you been declared bankrupt or involved in a business which has been declared bankrupt, become insolvent or subject to voluntary administration?</t>
  </si>
  <si>
    <t xml:space="preserve">Been convicted of or have charges pending of any crime involving drugs, theft, fraud, </t>
  </si>
  <si>
    <t>Please note we will be unable to provide cover if any questions are answered "yes" in the above</t>
  </si>
  <si>
    <r>
      <t xml:space="preserve">a)  In the last 5 years, have you or any partner or director been declined insurance or had a special condition imposed?   </t>
    </r>
    <r>
      <rPr>
        <b/>
        <sz val="14"/>
        <color theme="1"/>
        <rFont val="Calibri"/>
        <family val="2"/>
        <scheme val="minor"/>
      </rPr>
      <t>OR</t>
    </r>
  </si>
  <si>
    <t>(option add additional)</t>
  </si>
  <si>
    <t xml:space="preserve">Application Details </t>
  </si>
  <si>
    <t>Signature (Name) : -</t>
  </si>
  <si>
    <t xml:space="preserve">Agree that when this application card is accepted by the Insurer, cover is bound and cover cannot be cancelled and </t>
  </si>
  <si>
    <t xml:space="preserve">on requesting cover on this policy will received a copy of the Livestock Policy Wording and agree to accept the insurance </t>
  </si>
  <si>
    <t>on requesting cover on this policy will read the Important Information relating to this insurance attached to this application;</t>
  </si>
  <si>
    <t>Declare everything on this application to be true and correct and I/We have not withheld any relevant information.</t>
  </si>
  <si>
    <t>All Excess Options  -  Comparison &amp;  Alternative purposes only</t>
  </si>
  <si>
    <t>Base Rate</t>
  </si>
  <si>
    <t>UW Fee</t>
  </si>
  <si>
    <t xml:space="preserve">Broker </t>
  </si>
  <si>
    <t xml:space="preserve">RMA Insurance Brokers </t>
  </si>
  <si>
    <t xml:space="preserve">Insured </t>
  </si>
  <si>
    <t>Notes : -</t>
  </si>
  <si>
    <t xml:space="preserve">Date </t>
  </si>
  <si>
    <t xml:space="preserve">Printed Application - Office use only </t>
  </si>
  <si>
    <t>Claims : -</t>
  </si>
  <si>
    <t xml:space="preserve">Is there any animals less than 3 month old? </t>
  </si>
  <si>
    <t xml:space="preserve">Age Limits </t>
  </si>
  <si>
    <t xml:space="preserve">3 months </t>
  </si>
  <si>
    <t xml:space="preserve">4 months </t>
  </si>
  <si>
    <t xml:space="preserve">5 months </t>
  </si>
  <si>
    <t xml:space="preserve">6 months </t>
  </si>
  <si>
    <t xml:space="preserve">7 months </t>
  </si>
  <si>
    <t xml:space="preserve">8 months </t>
  </si>
  <si>
    <t xml:space="preserve">*** 5 years for Loss of use covers </t>
  </si>
  <si>
    <t xml:space="preserve">Are any of the animals over </t>
  </si>
  <si>
    <t xml:space="preserve">years of age? </t>
  </si>
  <si>
    <t>Max (years)</t>
  </si>
  <si>
    <t xml:space="preserve">Final text </t>
  </si>
  <si>
    <t>Sales Venue</t>
  </si>
  <si>
    <t xml:space="preserve">interested party </t>
  </si>
  <si>
    <t xml:space="preserve">signed </t>
  </si>
  <si>
    <t xml:space="preserve">No cover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</si>
</sst>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8" formatCode="&quot;$&quot;#,##0.00;[Red]\-&quot;$&quot;#,##0.00"/>
    <numFmt numFmtId="44" formatCode="_-&quot;$&quot;* #,##0.00_-;\-&quot;$&quot;* #,##0.00_-;_-&quot;$&quot;* &quot;-&quot;??_-;_-@_-"/>
    <numFmt numFmtId="164" formatCode="_-&quot;$&quot;* #,##0_-;\-&quot;$&quot;* #,##0_-;_-&quot;$&quot;* &quot;-&quot;??_-;_-@_-"/>
    <numFmt numFmtId="165" formatCode="0.0%"/>
    <numFmt numFmtId="166" formatCode="0.000%"/>
    <numFmt numFmtId="167" formatCode="_-&quot;$&quot;* #,##0.00_-;\-&quot;$&quot;* #,##0.00_-;_-&quot;$&quot;* &quot;-&quot;???_-;_-@_-"/>
    <numFmt numFmtId="168" formatCode="0.0"/>
    <numFmt numFmtId="169" formatCode="[$-F800]dddd\,\ mmmm\ dd\,\ yyyy"/>
  </numFmts>
  <fonts count="7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u/>
      <sz val="11"/>
      <color theme="1"/>
      <name val="Calibri"/>
      <family val="2"/>
      <scheme val="minor"/>
    </font>
    <font>
      <i/>
      <sz val="11"/>
      <color theme="1"/>
      <name val="Calibri"/>
      <family val="2"/>
      <scheme val="minor"/>
    </font>
    <font>
      <sz val="9"/>
      <color theme="1"/>
      <name val="Calibri"/>
      <family val="2"/>
      <scheme val="minor"/>
    </font>
    <font>
      <i/>
      <sz val="9"/>
      <color theme="1"/>
      <name val="Calibri"/>
      <family val="2"/>
      <scheme val="minor"/>
    </font>
    <font>
      <sz val="9"/>
      <color indexed="81"/>
      <name val="Tahoma"/>
      <family val="2"/>
    </font>
    <font>
      <b/>
      <sz val="9"/>
      <color indexed="81"/>
      <name val="Tahoma"/>
      <family val="2"/>
    </font>
    <font>
      <sz val="10"/>
      <color theme="1"/>
      <name val="Calibri"/>
      <family val="2"/>
      <scheme val="minor"/>
    </font>
    <font>
      <sz val="9"/>
      <color rgb="FF0067B1"/>
      <name val="Calibri"/>
      <family val="2"/>
      <scheme val="minor"/>
    </font>
    <font>
      <sz val="9"/>
      <color rgb="FF0079C1"/>
      <name val="Calibri"/>
      <family val="2"/>
      <scheme val="minor"/>
    </font>
    <font>
      <b/>
      <u/>
      <sz val="10"/>
      <color theme="1"/>
      <name val="Calibri"/>
      <family val="2"/>
      <scheme val="minor"/>
    </font>
    <font>
      <sz val="10"/>
      <color rgb="FFFF0000"/>
      <name val="Calibri"/>
      <family val="2"/>
      <scheme val="minor"/>
    </font>
    <font>
      <b/>
      <u/>
      <sz val="10"/>
      <color rgb="FFFF0000"/>
      <name val="Calibri"/>
      <family val="2"/>
      <scheme val="minor"/>
    </font>
    <font>
      <b/>
      <sz val="10"/>
      <color rgb="FFFF0000"/>
      <name val="Calibri"/>
      <family val="2"/>
      <scheme val="minor"/>
    </font>
    <font>
      <b/>
      <sz val="10"/>
      <color theme="1"/>
      <name val="Calibri"/>
      <family val="2"/>
      <scheme val="minor"/>
    </font>
    <font>
      <b/>
      <u/>
      <sz val="16"/>
      <color theme="1"/>
      <name val="Calibri"/>
      <family val="2"/>
      <scheme val="minor"/>
    </font>
    <font>
      <sz val="9"/>
      <color rgb="FFFF0000"/>
      <name val="Calibri"/>
      <family val="2"/>
      <scheme val="minor"/>
    </font>
    <font>
      <sz val="9"/>
      <color rgb="FF231F20"/>
      <name val="Calibri"/>
      <family val="2"/>
      <scheme val="minor"/>
    </font>
    <font>
      <b/>
      <sz val="16"/>
      <color rgb="FF0079C1"/>
      <name val="Calibri"/>
      <family val="2"/>
      <scheme val="minor"/>
    </font>
    <font>
      <b/>
      <sz val="12"/>
      <color theme="1"/>
      <name val="Calibri"/>
      <family val="2"/>
      <scheme val="minor"/>
    </font>
    <font>
      <sz val="12"/>
      <color theme="1"/>
      <name val="Calibri"/>
      <family val="2"/>
      <scheme val="minor"/>
    </font>
    <font>
      <b/>
      <sz val="12"/>
      <color rgb="FFFF0000"/>
      <name val="Calibri"/>
      <family val="2"/>
      <scheme val="minor"/>
    </font>
    <font>
      <sz val="12"/>
      <color rgb="FFFF0000"/>
      <name val="Calibri"/>
      <family val="2"/>
      <scheme val="minor"/>
    </font>
    <font>
      <b/>
      <u/>
      <sz val="12"/>
      <color theme="1"/>
      <name val="Calibri"/>
      <family val="2"/>
      <scheme val="minor"/>
    </font>
    <font>
      <i/>
      <sz val="12"/>
      <color theme="1"/>
      <name val="Calibri"/>
      <family val="2"/>
      <scheme val="minor"/>
    </font>
    <font>
      <b/>
      <sz val="10"/>
      <color rgb="FF241F1F"/>
      <name val="Calibri"/>
      <family val="2"/>
      <scheme val="minor"/>
    </font>
    <font>
      <sz val="10"/>
      <color rgb="FF241F1F"/>
      <name val="Calibri"/>
      <family val="2"/>
      <scheme val="minor"/>
    </font>
    <font>
      <b/>
      <i/>
      <sz val="10"/>
      <color theme="1"/>
      <name val="Calibri"/>
      <family val="2"/>
      <scheme val="minor"/>
    </font>
    <font>
      <b/>
      <sz val="12"/>
      <name val="Calibri"/>
      <family val="2"/>
    </font>
    <font>
      <b/>
      <sz val="12"/>
      <color rgb="FFFFFFFF"/>
      <name val="Calibri"/>
      <family val="2"/>
    </font>
    <font>
      <sz val="12"/>
      <name val="Calibri"/>
      <family val="2"/>
    </font>
    <font>
      <sz val="12"/>
      <color rgb="FFFFFFFF"/>
      <name val="Calibri"/>
      <family val="2"/>
    </font>
    <font>
      <sz val="12"/>
      <color theme="1"/>
      <name val="Calibri"/>
      <family val="2"/>
    </font>
    <font>
      <sz val="12"/>
      <color rgb="FF231F20"/>
      <name val="Calibri"/>
      <family val="2"/>
    </font>
    <font>
      <b/>
      <sz val="12"/>
      <color rgb="FF231F20"/>
      <name val="Calibri"/>
      <family val="2"/>
    </font>
    <font>
      <sz val="12"/>
      <color rgb="FF0067B1"/>
      <name val="Calibri"/>
      <family val="2"/>
    </font>
    <font>
      <b/>
      <sz val="8"/>
      <color rgb="FFFF0000"/>
      <name val="Calibri"/>
      <family val="2"/>
      <scheme val="minor"/>
    </font>
    <font>
      <i/>
      <sz val="7"/>
      <name val="Calibri"/>
      <family val="2"/>
      <scheme val="minor"/>
    </font>
    <font>
      <sz val="7"/>
      <color theme="1"/>
      <name val="Calibri"/>
      <family val="2"/>
      <scheme val="minor"/>
    </font>
    <font>
      <i/>
      <sz val="7"/>
      <color theme="1"/>
      <name val="Calibri"/>
      <family val="2"/>
      <scheme val="minor"/>
    </font>
    <font>
      <b/>
      <sz val="9"/>
      <color rgb="FF231F20"/>
      <name val="Calibri"/>
      <family val="2"/>
      <scheme val="minor"/>
    </font>
    <font>
      <sz val="8"/>
      <color theme="1"/>
      <name val="Arial"/>
      <family val="2"/>
    </font>
    <font>
      <b/>
      <sz val="8.5"/>
      <color rgb="FF002A58"/>
      <name val="Arial"/>
      <family val="2"/>
    </font>
    <font>
      <sz val="8"/>
      <color rgb="FF000000"/>
      <name val="Arial"/>
      <family val="2"/>
    </font>
    <font>
      <sz val="14"/>
      <color theme="1"/>
      <name val="Calibri"/>
      <family val="2"/>
      <scheme val="minor"/>
    </font>
    <font>
      <sz val="10"/>
      <name val="Calibri"/>
      <family val="2"/>
      <scheme val="minor"/>
    </font>
    <font>
      <b/>
      <u/>
      <sz val="10"/>
      <name val="Calibri"/>
      <family val="2"/>
      <scheme val="minor"/>
    </font>
    <font>
      <b/>
      <sz val="10"/>
      <name val="Calibri"/>
      <family val="2"/>
      <scheme val="minor"/>
    </font>
    <font>
      <b/>
      <i/>
      <u/>
      <sz val="10"/>
      <color theme="1"/>
      <name val="Calibri"/>
      <family val="2"/>
      <scheme val="minor"/>
    </font>
    <font>
      <i/>
      <sz val="10"/>
      <name val="Calibri"/>
      <family val="2"/>
      <scheme val="minor"/>
    </font>
    <font>
      <i/>
      <sz val="10"/>
      <color theme="1"/>
      <name val="Calibri"/>
      <family val="2"/>
      <scheme val="minor"/>
    </font>
    <font>
      <b/>
      <u/>
      <sz val="8"/>
      <color rgb="FF000000"/>
      <name val="Arial"/>
      <family val="2"/>
    </font>
    <font>
      <b/>
      <sz val="20"/>
      <color theme="1"/>
      <name val="Calibri"/>
      <family val="2"/>
      <scheme val="minor"/>
    </font>
    <font>
      <b/>
      <u/>
      <sz val="14"/>
      <color theme="1"/>
      <name val="Calibri"/>
      <family val="2"/>
      <scheme val="minor"/>
    </font>
    <font>
      <sz val="14"/>
      <color rgb="FFFF0000"/>
      <name val="Calibri"/>
      <family val="2"/>
      <scheme val="minor"/>
    </font>
    <font>
      <b/>
      <sz val="14"/>
      <color theme="1"/>
      <name val="Calibri"/>
      <family val="2"/>
      <scheme val="minor"/>
    </font>
    <font>
      <b/>
      <sz val="14"/>
      <color rgb="FFFF0000"/>
      <name val="Calibri"/>
      <family val="2"/>
      <scheme val="minor"/>
    </font>
    <font>
      <i/>
      <sz val="14"/>
      <color theme="1"/>
      <name val="Calibri"/>
      <family val="2"/>
      <scheme val="minor"/>
    </font>
    <font>
      <b/>
      <i/>
      <sz val="14"/>
      <color theme="1"/>
      <name val="Calibri"/>
      <family val="2"/>
      <scheme val="minor"/>
    </font>
    <font>
      <b/>
      <sz val="14"/>
      <color rgb="FF241F1F"/>
      <name val="Calibri"/>
      <family val="2"/>
      <scheme val="minor"/>
    </font>
    <font>
      <sz val="14"/>
      <color rgb="FF241F1F"/>
      <name val="Calibri"/>
      <family val="2"/>
      <scheme val="minor"/>
    </font>
    <font>
      <b/>
      <sz val="14"/>
      <color rgb="FF000000"/>
      <name val="Arial"/>
      <family val="2"/>
    </font>
    <font>
      <b/>
      <sz val="14"/>
      <color rgb="FF000000"/>
      <name val="Calibri"/>
      <family val="2"/>
      <scheme val="minor"/>
    </font>
    <font>
      <sz val="14"/>
      <color rgb="FF000000"/>
      <name val="Calibri"/>
      <family val="2"/>
      <scheme val="minor"/>
    </font>
    <font>
      <b/>
      <sz val="14"/>
      <color rgb="FFFFFFFF"/>
      <name val="Calibri"/>
      <family val="2"/>
      <scheme val="minor"/>
    </font>
    <font>
      <b/>
      <u/>
      <sz val="22"/>
      <color theme="1"/>
      <name val="Calibri"/>
      <family val="2"/>
      <scheme val="minor"/>
    </font>
    <font>
      <b/>
      <sz val="20"/>
      <color rgb="FF002A58"/>
      <name val="Arial"/>
      <family val="2"/>
    </font>
    <font>
      <sz val="20"/>
      <color theme="1"/>
      <name val="Calibri"/>
      <family val="2"/>
      <scheme val="minor"/>
    </font>
    <font>
      <sz val="8"/>
      <name val="Calibri"/>
      <family val="2"/>
      <scheme val="minor"/>
    </font>
  </fonts>
  <fills count="20">
    <fill>
      <patternFill patternType="none"/>
    </fill>
    <fill>
      <patternFill patternType="gray125"/>
    </fill>
    <fill>
      <patternFill patternType="solid">
        <fgColor theme="4" tint="0.59999389629810485"/>
        <bgColor indexed="64"/>
      </patternFill>
    </fill>
    <fill>
      <patternFill patternType="solid">
        <fgColor theme="7"/>
        <bgColor indexed="64"/>
      </patternFill>
    </fill>
    <fill>
      <patternFill patternType="solid">
        <fgColor rgb="FFFFFF00"/>
        <bgColor indexed="64"/>
      </patternFill>
    </fill>
    <fill>
      <patternFill patternType="solid">
        <fgColor theme="7" tint="0.39997558519241921"/>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0079C1"/>
      </patternFill>
    </fill>
    <fill>
      <patternFill patternType="solid">
        <fgColor rgb="FFFFFFFF"/>
      </patternFill>
    </fill>
    <fill>
      <patternFill patternType="solid">
        <fgColor rgb="FFFFFFFF"/>
        <bgColor indexed="64"/>
      </patternFill>
    </fill>
    <fill>
      <patternFill patternType="solid">
        <fgColor rgb="FFC1DAF5"/>
        <bgColor indexed="64"/>
      </patternFill>
    </fill>
    <fill>
      <patternFill patternType="solid">
        <fgColor rgb="FFF0F0F0"/>
        <bgColor indexed="64"/>
      </patternFill>
    </fill>
    <fill>
      <patternFill patternType="solid">
        <fgColor rgb="FFCCCCCC"/>
        <bgColor indexed="64"/>
      </patternFill>
    </fill>
    <fill>
      <patternFill patternType="solid">
        <fgColor rgb="FF4D4D4D"/>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0000"/>
        <bgColor indexed="64"/>
      </patternFill>
    </fill>
  </fills>
  <borders count="1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rgb="FFFFFFFF"/>
      </right>
      <top/>
      <bottom/>
      <diagonal/>
    </border>
    <border>
      <left style="thin">
        <color rgb="FFFFFFFF"/>
      </left>
      <right/>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right/>
      <top style="thin">
        <color rgb="FFFFFFFF"/>
      </top>
      <bottom/>
      <diagonal/>
    </border>
    <border>
      <left/>
      <right style="thin">
        <color rgb="FF0079C1"/>
      </right>
      <top/>
      <bottom/>
      <diagonal/>
    </border>
    <border>
      <left style="thin">
        <color rgb="FF0079C1"/>
      </left>
      <right/>
      <top/>
      <bottom style="thin">
        <color rgb="FF0079C1"/>
      </bottom>
      <diagonal/>
    </border>
    <border>
      <left/>
      <right style="thin">
        <color rgb="FF0079C1"/>
      </right>
      <top/>
      <bottom style="thin">
        <color rgb="FF0079C1"/>
      </bottom>
      <diagonal/>
    </border>
    <border>
      <left style="thin">
        <color rgb="FF0079C1"/>
      </left>
      <right style="thin">
        <color rgb="FF0079C1"/>
      </right>
      <top/>
      <bottom style="thin">
        <color rgb="FF0079C1"/>
      </bottom>
      <diagonal/>
    </border>
    <border>
      <left/>
      <right/>
      <top/>
      <bottom style="thin">
        <color rgb="FF0079C1"/>
      </bottom>
      <diagonal/>
    </border>
    <border>
      <left style="thin">
        <color rgb="FF0079C1"/>
      </left>
      <right/>
      <top style="thin">
        <color rgb="FF0079C1"/>
      </top>
      <bottom style="thin">
        <color rgb="FF0079C1"/>
      </bottom>
      <diagonal/>
    </border>
    <border>
      <left/>
      <right style="thin">
        <color rgb="FF0079C1"/>
      </right>
      <top style="thin">
        <color rgb="FF0079C1"/>
      </top>
      <bottom style="thin">
        <color rgb="FF0079C1"/>
      </bottom>
      <diagonal/>
    </border>
    <border>
      <left style="thin">
        <color rgb="FF0079C1"/>
      </left>
      <right style="thin">
        <color rgb="FF0079C1"/>
      </right>
      <top style="thin">
        <color rgb="FF0079C1"/>
      </top>
      <bottom style="thin">
        <color rgb="FF0079C1"/>
      </bottom>
      <diagonal/>
    </border>
    <border>
      <left/>
      <right/>
      <top style="thin">
        <color rgb="FF0079C1"/>
      </top>
      <bottom style="thin">
        <color rgb="FF0079C1"/>
      </bottom>
      <diagonal/>
    </border>
    <border>
      <left/>
      <right style="thin">
        <color indexed="64"/>
      </right>
      <top/>
      <bottom/>
      <diagonal/>
    </border>
    <border>
      <left/>
      <right/>
      <top/>
      <bottom style="thin">
        <color theme="4"/>
      </bottom>
      <diagonal/>
    </border>
    <border>
      <left style="thin">
        <color indexed="64"/>
      </left>
      <right style="thin">
        <color indexed="64"/>
      </right>
      <top style="thin">
        <color theme="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theme="4"/>
      </top>
      <bottom style="thin">
        <color indexed="64"/>
      </bottom>
      <diagonal/>
    </border>
    <border>
      <left style="thin">
        <color theme="4"/>
      </left>
      <right style="thin">
        <color indexed="64"/>
      </right>
      <top style="thin">
        <color theme="4"/>
      </top>
      <bottom style="thin">
        <color indexed="64"/>
      </bottom>
      <diagonal/>
    </border>
    <border>
      <left style="thin">
        <color theme="4"/>
      </left>
      <right style="thin">
        <color indexed="64"/>
      </right>
      <top style="thin">
        <color indexed="64"/>
      </top>
      <bottom/>
      <diagonal/>
    </border>
    <border>
      <left style="thin">
        <color theme="4"/>
      </left>
      <right style="thin">
        <color indexed="64"/>
      </right>
      <top style="thin">
        <color theme="4"/>
      </top>
      <bottom style="thin">
        <color theme="4"/>
      </bottom>
      <diagonal/>
    </border>
    <border>
      <left style="thin">
        <color theme="4"/>
      </left>
      <right style="thin">
        <color indexed="64"/>
      </right>
      <top style="thin">
        <color indexed="64"/>
      </top>
      <bottom style="thin">
        <color theme="4"/>
      </bottom>
      <diagonal/>
    </border>
    <border>
      <left style="thin">
        <color indexed="64"/>
      </left>
      <right style="thin">
        <color indexed="64"/>
      </right>
      <top style="thin">
        <color indexed="64"/>
      </top>
      <bottom style="thin">
        <color theme="4"/>
      </bottom>
      <diagonal/>
    </border>
    <border>
      <left style="thin">
        <color indexed="64"/>
      </left>
      <right style="thin">
        <color indexed="64"/>
      </right>
      <top/>
      <bottom/>
      <diagonal/>
    </border>
    <border>
      <left style="thin">
        <color indexed="64"/>
      </left>
      <right style="thin">
        <color indexed="64"/>
      </right>
      <top style="thin">
        <color theme="4"/>
      </top>
      <bottom/>
      <diagonal/>
    </border>
    <border>
      <left style="thin">
        <color indexed="64"/>
      </left>
      <right/>
      <top style="thin">
        <color theme="4"/>
      </top>
      <bottom/>
      <diagonal/>
    </border>
    <border>
      <left style="thin">
        <color indexed="64"/>
      </left>
      <right style="thin">
        <color indexed="64"/>
      </right>
      <top style="thin">
        <color theme="4"/>
      </top>
      <bottom style="thin">
        <color theme="4"/>
      </bottom>
      <diagonal/>
    </border>
    <border>
      <left style="thin">
        <color theme="4"/>
      </left>
      <right style="thin">
        <color indexed="64"/>
      </right>
      <top style="thin">
        <color theme="4"/>
      </top>
      <bottom/>
      <diagonal/>
    </border>
    <border>
      <left style="thin">
        <color indexed="64"/>
      </left>
      <right/>
      <top style="thin">
        <color theme="4"/>
      </top>
      <bottom style="thin">
        <color theme="4"/>
      </bottom>
      <diagonal/>
    </border>
    <border>
      <left style="thin">
        <color indexed="64"/>
      </left>
      <right/>
      <top/>
      <bottom/>
      <diagonal/>
    </border>
    <border>
      <left/>
      <right/>
      <top style="thin">
        <color theme="4"/>
      </top>
      <bottom/>
      <diagonal/>
    </border>
    <border>
      <left style="thin">
        <color theme="4"/>
      </left>
      <right style="thin">
        <color theme="4"/>
      </right>
      <top style="thin">
        <color theme="4"/>
      </top>
      <bottom style="thin">
        <color theme="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style="thin">
        <color indexed="64"/>
      </right>
      <top style="thin">
        <color indexed="64"/>
      </top>
      <bottom/>
      <diagonal/>
    </border>
    <border>
      <left style="thin">
        <color indexed="64"/>
      </left>
      <right style="medium">
        <color theme="4"/>
      </right>
      <top style="thin">
        <color indexed="64"/>
      </top>
      <bottom/>
      <diagonal/>
    </border>
    <border>
      <left style="medium">
        <color theme="4"/>
      </left>
      <right style="thin">
        <color indexed="64"/>
      </right>
      <top style="thin">
        <color theme="4"/>
      </top>
      <bottom style="thin">
        <color indexed="64"/>
      </bottom>
      <diagonal/>
    </border>
    <border>
      <left style="thin">
        <color indexed="64"/>
      </left>
      <right style="medium">
        <color theme="4"/>
      </right>
      <top style="thin">
        <color theme="4"/>
      </top>
      <bottom style="thin">
        <color indexed="64"/>
      </bottom>
      <diagonal/>
    </border>
    <border>
      <left style="thin">
        <color indexed="64"/>
      </left>
      <right style="medium">
        <color theme="4"/>
      </right>
      <top style="thin">
        <color indexed="64"/>
      </top>
      <bottom style="thin">
        <color theme="4"/>
      </bottom>
      <diagonal/>
    </border>
    <border>
      <left style="medium">
        <color theme="4"/>
      </left>
      <right style="thin">
        <color indexed="64"/>
      </right>
      <top style="thin">
        <color theme="4"/>
      </top>
      <bottom/>
      <diagonal/>
    </border>
    <border>
      <left style="thin">
        <color indexed="64"/>
      </left>
      <right style="medium">
        <color theme="4"/>
      </right>
      <top style="thin">
        <color theme="4"/>
      </top>
      <bottom style="thin">
        <color theme="4"/>
      </bottom>
      <diagonal/>
    </border>
    <border>
      <left style="thin">
        <color indexed="64"/>
      </left>
      <right style="medium">
        <color theme="4"/>
      </right>
      <top style="thin">
        <color theme="4"/>
      </top>
      <bottom/>
      <diagonal/>
    </border>
    <border>
      <left style="medium">
        <color theme="4"/>
      </left>
      <right style="thin">
        <color indexed="64"/>
      </right>
      <top style="thin">
        <color theme="4"/>
      </top>
      <bottom style="thin">
        <color theme="4"/>
      </bottom>
      <diagonal/>
    </border>
    <border>
      <left style="medium">
        <color theme="4"/>
      </left>
      <right style="thin">
        <color indexed="64"/>
      </right>
      <top/>
      <bottom/>
      <diagonal/>
    </border>
    <border>
      <left style="medium">
        <color theme="4"/>
      </left>
      <right style="thin">
        <color indexed="64"/>
      </right>
      <top style="thin">
        <color theme="4"/>
      </top>
      <bottom style="medium">
        <color theme="4"/>
      </bottom>
      <diagonal/>
    </border>
    <border>
      <left style="thin">
        <color indexed="64"/>
      </left>
      <right style="thin">
        <color indexed="64"/>
      </right>
      <top style="thin">
        <color theme="4"/>
      </top>
      <bottom style="medium">
        <color theme="4"/>
      </bottom>
      <diagonal/>
    </border>
    <border>
      <left style="thin">
        <color indexed="64"/>
      </left>
      <right/>
      <top style="thin">
        <color theme="4"/>
      </top>
      <bottom style="medium">
        <color theme="4"/>
      </bottom>
      <diagonal/>
    </border>
    <border>
      <left style="thin">
        <color theme="4"/>
      </left>
      <right style="thin">
        <color indexed="64"/>
      </right>
      <top style="thin">
        <color theme="4"/>
      </top>
      <bottom style="medium">
        <color theme="4"/>
      </bottom>
      <diagonal/>
    </border>
    <border>
      <left style="thin">
        <color indexed="64"/>
      </left>
      <right style="medium">
        <color theme="4"/>
      </right>
      <top style="thin">
        <color theme="4"/>
      </top>
      <bottom style="medium">
        <color theme="4"/>
      </bottom>
      <diagonal/>
    </border>
    <border>
      <left style="medium">
        <color theme="4"/>
      </left>
      <right style="thin">
        <color theme="4"/>
      </right>
      <top style="thin">
        <color theme="4"/>
      </top>
      <bottom style="thin">
        <color theme="4"/>
      </bottom>
      <diagonal/>
    </border>
    <border>
      <left style="thin">
        <color theme="4"/>
      </left>
      <right style="medium">
        <color theme="4"/>
      </right>
      <top style="thin">
        <color theme="4"/>
      </top>
      <bottom style="thin">
        <color theme="4"/>
      </bottom>
      <diagonal/>
    </border>
    <border>
      <left style="medium">
        <color theme="4"/>
      </left>
      <right style="thin">
        <color theme="4"/>
      </right>
      <top style="thin">
        <color theme="4"/>
      </top>
      <bottom style="medium">
        <color theme="4"/>
      </bottom>
      <diagonal/>
    </border>
    <border>
      <left style="thin">
        <color theme="4"/>
      </left>
      <right style="thin">
        <color theme="4"/>
      </right>
      <top style="thin">
        <color theme="4"/>
      </top>
      <bottom style="medium">
        <color theme="4"/>
      </bottom>
      <diagonal/>
    </border>
    <border>
      <left style="thin">
        <color theme="4"/>
      </left>
      <right style="medium">
        <color theme="4"/>
      </right>
      <top style="thin">
        <color theme="4"/>
      </top>
      <bottom style="medium">
        <color theme="4"/>
      </bottom>
      <diagonal/>
    </border>
    <border>
      <left/>
      <right style="thin">
        <color rgb="FFFFFFFF"/>
      </right>
      <top style="medium">
        <color theme="4"/>
      </top>
      <bottom/>
      <diagonal/>
    </border>
    <border>
      <left style="thin">
        <color rgb="FFFFFFFF"/>
      </left>
      <right/>
      <top style="medium">
        <color theme="4"/>
      </top>
      <bottom/>
      <diagonal/>
    </border>
    <border>
      <left style="thin">
        <color rgb="FFFFFFFF"/>
      </left>
      <right/>
      <top style="medium">
        <color theme="4"/>
      </top>
      <bottom style="thin">
        <color rgb="FFFFFFFF"/>
      </bottom>
      <diagonal/>
    </border>
    <border>
      <left/>
      <right/>
      <top style="medium">
        <color theme="4"/>
      </top>
      <bottom style="thin">
        <color rgb="FFFFFFFF"/>
      </bottom>
      <diagonal/>
    </border>
    <border>
      <left/>
      <right style="medium">
        <color theme="4"/>
      </right>
      <top style="medium">
        <color theme="4"/>
      </top>
      <bottom style="thin">
        <color rgb="FFFFFFFF"/>
      </bottom>
      <diagonal/>
    </border>
    <border>
      <left/>
      <right style="medium">
        <color theme="4"/>
      </right>
      <top style="thin">
        <color rgb="FFFFFFFF"/>
      </top>
      <bottom/>
      <diagonal/>
    </border>
    <border>
      <left/>
      <right style="medium">
        <color theme="4"/>
      </right>
      <top/>
      <bottom style="thin">
        <color rgb="FF0079C1"/>
      </bottom>
      <diagonal/>
    </border>
    <border>
      <left style="medium">
        <color theme="4"/>
      </left>
      <right/>
      <top/>
      <bottom style="thin">
        <color rgb="FF0079C1"/>
      </bottom>
      <diagonal/>
    </border>
    <border>
      <left/>
      <right style="medium">
        <color theme="4"/>
      </right>
      <top style="thin">
        <color rgb="FF0079C1"/>
      </top>
      <bottom style="thin">
        <color rgb="FF0079C1"/>
      </bottom>
      <diagonal/>
    </border>
    <border>
      <left style="medium">
        <color theme="4"/>
      </left>
      <right/>
      <top style="thin">
        <color rgb="FF0079C1"/>
      </top>
      <bottom style="thin">
        <color rgb="FF0079C1"/>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left style="medium">
        <color theme="4"/>
      </left>
      <right/>
      <top style="thin">
        <color rgb="FF0079C1"/>
      </top>
      <bottom/>
      <diagonal/>
    </border>
    <border>
      <left/>
      <right/>
      <top style="thin">
        <color rgb="FF0079C1"/>
      </top>
      <bottom/>
      <diagonal/>
    </border>
    <border>
      <left/>
      <right style="thin">
        <color rgb="FF0079C1"/>
      </right>
      <top style="thin">
        <color rgb="FF0079C1"/>
      </top>
      <bottom/>
      <diagonal/>
    </border>
    <border>
      <left style="thin">
        <color rgb="FF0079C1"/>
      </left>
      <right/>
      <top style="thin">
        <color rgb="FF0079C1"/>
      </top>
      <bottom/>
      <diagonal/>
    </border>
    <border>
      <left style="thin">
        <color rgb="FF0079C1"/>
      </left>
      <right style="thin">
        <color rgb="FF0079C1"/>
      </right>
      <top style="thin">
        <color rgb="FF0079C1"/>
      </top>
      <bottom/>
      <diagonal/>
    </border>
    <border>
      <left/>
      <right style="medium">
        <color theme="4"/>
      </right>
      <top style="thin">
        <color rgb="FF0079C1"/>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17">
    <xf numFmtId="0" fontId="0" fillId="0" borderId="0" xfId="0"/>
    <xf numFmtId="0" fontId="3" fillId="0" borderId="0" xfId="0" applyFont="1"/>
    <xf numFmtId="0" fontId="0" fillId="0" borderId="1" xfId="0" applyBorder="1"/>
    <xf numFmtId="0" fontId="4" fillId="0" borderId="0" xfId="0" applyFont="1"/>
    <xf numFmtId="9" fontId="0" fillId="0" borderId="0" xfId="2" applyFont="1"/>
    <xf numFmtId="165" fontId="0" fillId="0" borderId="0" xfId="2" applyNumberFormat="1" applyFont="1"/>
    <xf numFmtId="10" fontId="0" fillId="0" borderId="0" xfId="2" applyNumberFormat="1" applyFont="1"/>
    <xf numFmtId="10" fontId="0" fillId="2" borderId="0" xfId="2" applyNumberFormat="1" applyFont="1" applyFill="1"/>
    <xf numFmtId="0" fontId="3" fillId="2" borderId="0" xfId="0" applyFont="1" applyFill="1"/>
    <xf numFmtId="0" fontId="3" fillId="3" borderId="0" xfId="0" applyFont="1" applyFill="1"/>
    <xf numFmtId="10" fontId="4" fillId="0" borderId="0" xfId="2" applyNumberFormat="1" applyFont="1"/>
    <xf numFmtId="0" fontId="3" fillId="0" borderId="2" xfId="0" applyFont="1" applyBorder="1"/>
    <xf numFmtId="10" fontId="0" fillId="0" borderId="3" xfId="2" applyNumberFormat="1" applyFont="1" applyBorder="1"/>
    <xf numFmtId="10" fontId="0" fillId="0" borderId="4" xfId="2" applyNumberFormat="1" applyFont="1" applyBorder="1"/>
    <xf numFmtId="10" fontId="0" fillId="0" borderId="0" xfId="2" applyNumberFormat="1" applyFont="1" applyAlignment="1"/>
    <xf numFmtId="10" fontId="0" fillId="0" borderId="0" xfId="2" applyNumberFormat="1" applyFont="1" applyBorder="1" applyAlignment="1"/>
    <xf numFmtId="10" fontId="0" fillId="0" borderId="1" xfId="2" applyNumberFormat="1" applyFont="1" applyBorder="1"/>
    <xf numFmtId="10" fontId="3" fillId="0" borderId="1" xfId="2" applyNumberFormat="1" applyFont="1" applyBorder="1" applyAlignment="1">
      <alignment horizontal="center"/>
    </xf>
    <xf numFmtId="10" fontId="0" fillId="0" borderId="0" xfId="0" applyNumberFormat="1"/>
    <xf numFmtId="10" fontId="3" fillId="0" borderId="1" xfId="0" applyNumberFormat="1" applyFont="1" applyBorder="1" applyAlignment="1">
      <alignment horizontal="center"/>
    </xf>
    <xf numFmtId="49" fontId="1" fillId="0" borderId="0" xfId="2" applyNumberFormat="1" applyFont="1"/>
    <xf numFmtId="10" fontId="0" fillId="5" borderId="0" xfId="2" applyNumberFormat="1" applyFont="1" applyFill="1" applyAlignment="1">
      <alignment horizontal="center"/>
    </xf>
    <xf numFmtId="10" fontId="0" fillId="5" borderId="0" xfId="2" applyNumberFormat="1" applyFont="1" applyFill="1"/>
    <xf numFmtId="10" fontId="2" fillId="0" borderId="0" xfId="2" applyNumberFormat="1" applyFont="1"/>
    <xf numFmtId="9" fontId="0" fillId="4" borderId="1" xfId="2" applyFont="1" applyFill="1" applyBorder="1" applyAlignment="1">
      <alignment horizontal="center"/>
    </xf>
    <xf numFmtId="0" fontId="3" fillId="0" borderId="1" xfId="0" applyFont="1" applyBorder="1"/>
    <xf numFmtId="6" fontId="0" fillId="0" borderId="1" xfId="2" applyNumberFormat="1" applyFont="1" applyBorder="1"/>
    <xf numFmtId="0" fontId="0" fillId="6" borderId="0" xfId="0" applyFill="1"/>
    <xf numFmtId="9" fontId="0" fillId="0" borderId="0" xfId="0" applyNumberFormat="1"/>
    <xf numFmtId="9" fontId="0" fillId="0" borderId="6" xfId="2" applyFont="1" applyBorder="1"/>
    <xf numFmtId="10" fontId="0" fillId="0" borderId="6" xfId="2" applyNumberFormat="1" applyFont="1" applyBorder="1"/>
    <xf numFmtId="0" fontId="10" fillId="0" borderId="0" xfId="0" applyFont="1"/>
    <xf numFmtId="0" fontId="14" fillId="0" borderId="0" xfId="0" applyFont="1"/>
    <xf numFmtId="0" fontId="15" fillId="0" borderId="0" xfId="0" applyFont="1"/>
    <xf numFmtId="14" fontId="10" fillId="0" borderId="0" xfId="0" applyNumberFormat="1" applyFont="1"/>
    <xf numFmtId="0" fontId="17" fillId="0" borderId="0" xfId="0" applyFont="1"/>
    <xf numFmtId="0" fontId="13" fillId="0" borderId="0" xfId="0" applyFont="1"/>
    <xf numFmtId="10" fontId="10" fillId="0" borderId="0" xfId="0" applyNumberFormat="1" applyFont="1"/>
    <xf numFmtId="0" fontId="10" fillId="0" borderId="1" xfId="0" applyFont="1" applyBorder="1"/>
    <xf numFmtId="10" fontId="10" fillId="0" borderId="1" xfId="0" applyNumberFormat="1" applyFont="1" applyBorder="1"/>
    <xf numFmtId="10" fontId="10" fillId="6" borderId="1" xfId="2" applyNumberFormat="1" applyFont="1" applyFill="1" applyBorder="1"/>
    <xf numFmtId="10" fontId="10" fillId="6" borderId="0" xfId="2" applyNumberFormat="1" applyFont="1" applyFill="1" applyBorder="1"/>
    <xf numFmtId="9" fontId="10" fillId="7" borderId="0" xfId="2" applyFont="1" applyFill="1" applyBorder="1"/>
    <xf numFmtId="0" fontId="16" fillId="0" borderId="0" xfId="0" applyFont="1"/>
    <xf numFmtId="0" fontId="10" fillId="0" borderId="4" xfId="0" applyFont="1" applyBorder="1"/>
    <xf numFmtId="0" fontId="6" fillId="8" borderId="10" xfId="0" applyFont="1" applyFill="1" applyBorder="1"/>
    <xf numFmtId="0" fontId="6" fillId="8" borderId="0" xfId="0" applyFont="1" applyFill="1"/>
    <xf numFmtId="0" fontId="19" fillId="8" borderId="0" xfId="0" applyFont="1" applyFill="1"/>
    <xf numFmtId="0" fontId="6" fillId="8" borderId="11" xfId="0" applyFont="1" applyFill="1" applyBorder="1"/>
    <xf numFmtId="0" fontId="7" fillId="8" borderId="12" xfId="0" applyFont="1" applyFill="1" applyBorder="1"/>
    <xf numFmtId="0" fontId="7" fillId="8" borderId="13" xfId="0" applyFont="1" applyFill="1" applyBorder="1"/>
    <xf numFmtId="0" fontId="6" fillId="8" borderId="13" xfId="0" applyFont="1" applyFill="1" applyBorder="1"/>
    <xf numFmtId="0" fontId="6" fillId="8" borderId="14" xfId="0" applyFont="1" applyFill="1" applyBorder="1"/>
    <xf numFmtId="0" fontId="6" fillId="8" borderId="5" xfId="0" applyFont="1" applyFill="1" applyBorder="1"/>
    <xf numFmtId="0" fontId="6" fillId="8" borderId="9" xfId="0" applyFont="1" applyFill="1" applyBorder="1"/>
    <xf numFmtId="0" fontId="10" fillId="8" borderId="0" xfId="0" applyFont="1" applyFill="1"/>
    <xf numFmtId="0" fontId="22" fillId="8" borderId="10" xfId="0" applyFont="1" applyFill="1" applyBorder="1" applyAlignment="1">
      <alignment horizontal="right"/>
    </xf>
    <xf numFmtId="0" fontId="11" fillId="8" borderId="10" xfId="0" applyFont="1" applyFill="1" applyBorder="1"/>
    <xf numFmtId="0" fontId="20" fillId="8" borderId="10" xfId="0" applyFont="1" applyFill="1" applyBorder="1"/>
    <xf numFmtId="0" fontId="12" fillId="8" borderId="10" xfId="0" applyFont="1" applyFill="1" applyBorder="1"/>
    <xf numFmtId="0" fontId="20" fillId="8" borderId="11" xfId="0" applyFont="1" applyFill="1" applyBorder="1" applyAlignment="1">
      <alignment horizontal="left" vertical="center" wrapText="1"/>
    </xf>
    <xf numFmtId="0" fontId="12" fillId="8" borderId="13" xfId="0" applyFont="1" applyFill="1" applyBorder="1"/>
    <xf numFmtId="0" fontId="22" fillId="8" borderId="10" xfId="0" applyFont="1" applyFill="1" applyBorder="1"/>
    <xf numFmtId="0" fontId="23" fillId="8" borderId="0" xfId="0" applyFont="1" applyFill="1"/>
    <xf numFmtId="0" fontId="24" fillId="8" borderId="0" xfId="0" applyFont="1" applyFill="1"/>
    <xf numFmtId="0" fontId="23" fillId="8" borderId="10" xfId="0" applyFont="1" applyFill="1" applyBorder="1"/>
    <xf numFmtId="0" fontId="25" fillId="8" borderId="0" xfId="0" applyFont="1" applyFill="1"/>
    <xf numFmtId="0" fontId="23" fillId="8" borderId="11" xfId="0" applyFont="1" applyFill="1" applyBorder="1"/>
    <xf numFmtId="0" fontId="24" fillId="8" borderId="10" xfId="0" applyFont="1" applyFill="1" applyBorder="1"/>
    <xf numFmtId="0" fontId="22" fillId="8" borderId="0" xfId="0" applyFont="1" applyFill="1"/>
    <xf numFmtId="0" fontId="26" fillId="8" borderId="10" xfId="0" applyFont="1" applyFill="1" applyBorder="1"/>
    <xf numFmtId="0" fontId="26" fillId="8" borderId="0" xfId="0" applyFont="1" applyFill="1"/>
    <xf numFmtId="0" fontId="26" fillId="8" borderId="0" xfId="0" applyFont="1" applyFill="1" applyAlignment="1">
      <alignment horizontal="left"/>
    </xf>
    <xf numFmtId="0" fontId="22" fillId="8" borderId="0" xfId="0" applyFont="1" applyFill="1" applyAlignment="1">
      <alignment horizontal="right"/>
    </xf>
    <xf numFmtId="164" fontId="23" fillId="8" borderId="0" xfId="1" applyNumberFormat="1" applyFont="1" applyFill="1" applyBorder="1"/>
    <xf numFmtId="164" fontId="22" fillId="8" borderId="7" xfId="0" applyNumberFormat="1" applyFont="1" applyFill="1" applyBorder="1"/>
    <xf numFmtId="9" fontId="23" fillId="8" borderId="0" xfId="2" applyFont="1" applyFill="1" applyBorder="1"/>
    <xf numFmtId="0" fontId="17" fillId="8" borderId="10" xfId="0" applyFont="1" applyFill="1" applyBorder="1"/>
    <xf numFmtId="0" fontId="23" fillId="8" borderId="11" xfId="0" applyFont="1" applyFill="1" applyBorder="1" applyAlignment="1">
      <alignment horizontal="left" wrapText="1"/>
    </xf>
    <xf numFmtId="0" fontId="24" fillId="8" borderId="10" xfId="0" applyFont="1" applyFill="1" applyBorder="1" applyAlignment="1">
      <alignment vertical="center"/>
    </xf>
    <xf numFmtId="0" fontId="24" fillId="8" borderId="0" xfId="0" applyFont="1" applyFill="1" applyAlignment="1">
      <alignment vertical="center"/>
    </xf>
    <xf numFmtId="0" fontId="23" fillId="8" borderId="11" xfId="0" applyFont="1" applyFill="1" applyBorder="1" applyAlignment="1">
      <alignment horizontal="left" vertical="center"/>
    </xf>
    <xf numFmtId="0" fontId="23" fillId="8" borderId="0" xfId="0" applyFont="1" applyFill="1" applyAlignment="1">
      <alignment vertical="center"/>
    </xf>
    <xf numFmtId="0" fontId="23" fillId="8" borderId="0" xfId="0" applyFont="1" applyFill="1" applyAlignment="1">
      <alignment horizontal="left" vertical="center"/>
    </xf>
    <xf numFmtId="0" fontId="17" fillId="8" borderId="10" xfId="0" applyFont="1" applyFill="1" applyBorder="1" applyAlignment="1">
      <alignment horizontal="right"/>
    </xf>
    <xf numFmtId="0" fontId="17" fillId="8" borderId="0" xfId="0" applyFont="1" applyFill="1" applyAlignment="1">
      <alignment horizontal="center"/>
    </xf>
    <xf numFmtId="0" fontId="28" fillId="8" borderId="10" xfId="0" applyFont="1" applyFill="1" applyBorder="1"/>
    <xf numFmtId="0" fontId="29" fillId="8" borderId="0" xfId="0" applyFont="1" applyFill="1"/>
    <xf numFmtId="0" fontId="10" fillId="8" borderId="10" xfId="0" applyFont="1" applyFill="1" applyBorder="1"/>
    <xf numFmtId="0" fontId="30" fillId="8" borderId="10" xfId="0" applyFont="1" applyFill="1" applyBorder="1"/>
    <xf numFmtId="0" fontId="17" fillId="8" borderId="0" xfId="0" applyFont="1" applyFill="1" applyAlignment="1">
      <alignment horizontal="right"/>
    </xf>
    <xf numFmtId="0" fontId="17" fillId="8" borderId="0" xfId="0" applyFont="1" applyFill="1"/>
    <xf numFmtId="0" fontId="10" fillId="8" borderId="10" xfId="0" applyFont="1" applyFill="1" applyBorder="1" applyAlignment="1">
      <alignment horizontal="right"/>
    </xf>
    <xf numFmtId="0" fontId="29" fillId="8" borderId="10" xfId="0" applyFont="1" applyFill="1" applyBorder="1"/>
    <xf numFmtId="0" fontId="17" fillId="8" borderId="10" xfId="0" applyFont="1" applyFill="1" applyBorder="1" applyAlignment="1">
      <alignment vertical="center"/>
    </xf>
    <xf numFmtId="0" fontId="17" fillId="8" borderId="10" xfId="0" applyFont="1" applyFill="1" applyBorder="1" applyAlignment="1">
      <alignment horizontal="left" vertical="center"/>
    </xf>
    <xf numFmtId="49" fontId="0" fillId="0" borderId="0" xfId="0" applyNumberFormat="1"/>
    <xf numFmtId="0" fontId="7" fillId="8" borderId="8" xfId="0" applyFont="1" applyFill="1" applyBorder="1"/>
    <xf numFmtId="0" fontId="7" fillId="8" borderId="5" xfId="0" applyFont="1" applyFill="1" applyBorder="1"/>
    <xf numFmtId="0" fontId="23" fillId="8" borderId="0" xfId="0" applyFont="1" applyFill="1" applyAlignment="1">
      <alignment horizontal="left"/>
    </xf>
    <xf numFmtId="0" fontId="25" fillId="8" borderId="0" xfId="0" applyFont="1" applyFill="1" applyAlignment="1">
      <alignment horizontal="left"/>
    </xf>
    <xf numFmtId="0" fontId="35" fillId="0" borderId="0" xfId="0" applyFont="1" applyAlignment="1">
      <alignment horizontal="left"/>
    </xf>
    <xf numFmtId="0" fontId="33" fillId="10" borderId="23" xfId="0" applyFont="1" applyFill="1" applyBorder="1" applyAlignment="1">
      <alignment horizontal="left" vertical="top" wrapText="1"/>
    </xf>
    <xf numFmtId="10" fontId="37" fillId="11" borderId="29" xfId="2" applyNumberFormat="1" applyFont="1" applyFill="1" applyBorder="1" applyAlignment="1">
      <alignment horizontal="left" vertical="top" shrinkToFit="1"/>
    </xf>
    <xf numFmtId="10" fontId="37" fillId="11" borderId="33" xfId="2" applyNumberFormat="1" applyFont="1" applyFill="1" applyBorder="1" applyAlignment="1">
      <alignment horizontal="left" vertical="top" shrinkToFit="1"/>
    </xf>
    <xf numFmtId="0" fontId="35" fillId="0" borderId="75" xfId="0" applyFont="1" applyBorder="1" applyAlignment="1">
      <alignment horizontal="left"/>
    </xf>
    <xf numFmtId="0" fontId="35" fillId="0" borderId="53" xfId="0" applyFont="1" applyBorder="1" applyAlignment="1">
      <alignment horizontal="left"/>
    </xf>
    <xf numFmtId="0" fontId="35" fillId="0" borderId="36" xfId="0" applyFont="1" applyBorder="1" applyAlignment="1">
      <alignment horizontal="left"/>
    </xf>
    <xf numFmtId="0" fontId="35" fillId="0" borderId="77" xfId="0" applyFont="1" applyBorder="1" applyAlignment="1">
      <alignment horizontal="left"/>
    </xf>
    <xf numFmtId="0" fontId="35" fillId="6" borderId="55" xfId="0" applyFont="1" applyFill="1" applyBorder="1" applyAlignment="1">
      <alignment horizontal="left"/>
    </xf>
    <xf numFmtId="0" fontId="35" fillId="6" borderId="56" xfId="0" applyFont="1" applyFill="1" applyBorder="1" applyAlignment="1">
      <alignment horizontal="left"/>
    </xf>
    <xf numFmtId="0" fontId="35" fillId="6" borderId="57" xfId="0" applyFont="1" applyFill="1" applyBorder="1" applyAlignment="1">
      <alignment horizontal="left"/>
    </xf>
    <xf numFmtId="0" fontId="38" fillId="6" borderId="58" xfId="0" applyFont="1" applyFill="1" applyBorder="1" applyAlignment="1">
      <alignment horizontal="left" vertical="center"/>
    </xf>
    <xf numFmtId="0" fontId="35" fillId="6" borderId="0" xfId="0" applyFont="1" applyFill="1" applyAlignment="1">
      <alignment horizontal="left"/>
    </xf>
    <xf numFmtId="0" fontId="35" fillId="6" borderId="59" xfId="0" applyFont="1" applyFill="1" applyBorder="1" applyAlignment="1">
      <alignment horizontal="left"/>
    </xf>
    <xf numFmtId="0" fontId="36" fillId="6" borderId="58" xfId="0" applyFont="1" applyFill="1" applyBorder="1" applyAlignment="1">
      <alignment vertical="center"/>
    </xf>
    <xf numFmtId="0" fontId="38" fillId="6" borderId="58" xfId="0" applyFont="1" applyFill="1" applyBorder="1" applyAlignment="1">
      <alignment vertical="center"/>
    </xf>
    <xf numFmtId="0" fontId="36" fillId="6" borderId="58" xfId="0" applyFont="1" applyFill="1" applyBorder="1" applyAlignment="1">
      <alignment horizontal="left" vertical="center"/>
    </xf>
    <xf numFmtId="0" fontId="35" fillId="6" borderId="58" xfId="0" applyFont="1" applyFill="1" applyBorder="1" applyAlignment="1">
      <alignment horizontal="left"/>
    </xf>
    <xf numFmtId="0" fontId="35" fillId="6" borderId="90" xfId="0" applyFont="1" applyFill="1" applyBorder="1" applyAlignment="1">
      <alignment horizontal="left"/>
    </xf>
    <xf numFmtId="0" fontId="35" fillId="6" borderId="91" xfId="0" applyFont="1" applyFill="1" applyBorder="1" applyAlignment="1">
      <alignment horizontal="left"/>
    </xf>
    <xf numFmtId="0" fontId="35" fillId="6" borderId="92" xfId="0" applyFont="1" applyFill="1" applyBorder="1" applyAlignment="1">
      <alignment horizontal="left"/>
    </xf>
    <xf numFmtId="10" fontId="37" fillId="11" borderId="97" xfId="2" applyNumberFormat="1" applyFont="1" applyFill="1" applyBorder="1" applyAlignment="1">
      <alignment horizontal="left" vertical="top" shrinkToFit="1"/>
    </xf>
    <xf numFmtId="10" fontId="3" fillId="0" borderId="0" xfId="2" applyNumberFormat="1" applyFont="1" applyBorder="1" applyAlignment="1">
      <alignment horizontal="center"/>
    </xf>
    <xf numFmtId="10" fontId="0" fillId="0" borderId="0" xfId="2" applyNumberFormat="1" applyFont="1" applyBorder="1"/>
    <xf numFmtId="10" fontId="10" fillId="0" borderId="0" xfId="2" applyNumberFormat="1" applyFont="1"/>
    <xf numFmtId="44" fontId="10" fillId="6" borderId="1" xfId="1" applyFont="1" applyFill="1" applyBorder="1"/>
    <xf numFmtId="44" fontId="10" fillId="0" borderId="1" xfId="0" applyNumberFormat="1" applyFont="1" applyBorder="1"/>
    <xf numFmtId="44" fontId="10" fillId="4" borderId="0" xfId="1" applyFont="1" applyFill="1"/>
    <xf numFmtId="0" fontId="10" fillId="8" borderId="0" xfId="0" applyFont="1" applyFill="1" applyAlignment="1" applyProtection="1">
      <alignment horizontal="center"/>
      <protection locked="0"/>
    </xf>
    <xf numFmtId="0" fontId="40" fillId="8" borderId="0" xfId="0" applyFont="1" applyFill="1"/>
    <xf numFmtId="0" fontId="41" fillId="8" borderId="0" xfId="0" applyFont="1" applyFill="1"/>
    <xf numFmtId="0" fontId="42" fillId="8" borderId="10" xfId="0" applyFont="1" applyFill="1" applyBorder="1" applyAlignment="1">
      <alignment horizontal="right"/>
    </xf>
    <xf numFmtId="0" fontId="42" fillId="8" borderId="0" xfId="0" applyFont="1" applyFill="1" applyAlignment="1">
      <alignment horizontal="right"/>
    </xf>
    <xf numFmtId="0" fontId="23" fillId="9" borderId="6" xfId="0" applyFont="1" applyFill="1" applyBorder="1" applyAlignment="1" applyProtection="1">
      <alignment horizontal="center"/>
      <protection locked="0"/>
    </xf>
    <xf numFmtId="164" fontId="23" fillId="9" borderId="6" xfId="1" applyNumberFormat="1" applyFont="1" applyFill="1" applyBorder="1" applyProtection="1">
      <protection locked="0"/>
    </xf>
    <xf numFmtId="0" fontId="17" fillId="9" borderId="1" xfId="0" applyFont="1" applyFill="1" applyBorder="1" applyAlignment="1" applyProtection="1">
      <alignment horizontal="center"/>
      <protection locked="0"/>
    </xf>
    <xf numFmtId="0" fontId="21" fillId="8" borderId="8" xfId="0" applyFont="1" applyFill="1" applyBorder="1"/>
    <xf numFmtId="0" fontId="12" fillId="8" borderId="0" xfId="0" applyFont="1" applyFill="1"/>
    <xf numFmtId="0" fontId="20" fillId="8" borderId="0" xfId="0" applyFont="1" applyFill="1"/>
    <xf numFmtId="0" fontId="20" fillId="8" borderId="12" xfId="0" applyFont="1" applyFill="1" applyBorder="1"/>
    <xf numFmtId="0" fontId="20" fillId="8" borderId="10" xfId="0" applyFont="1" applyFill="1" applyBorder="1" applyAlignment="1">
      <alignment horizontal="left" vertical="top"/>
    </xf>
    <xf numFmtId="10" fontId="3" fillId="0" borderId="0" xfId="2" applyNumberFormat="1" applyFont="1" applyAlignment="1"/>
    <xf numFmtId="0" fontId="45" fillId="0" borderId="6" xfId="0" applyFont="1" applyBorder="1" applyAlignment="1">
      <alignment vertical="center"/>
    </xf>
    <xf numFmtId="0" fontId="46" fillId="14" borderId="6" xfId="0" applyFont="1" applyFill="1" applyBorder="1" applyAlignment="1">
      <alignment vertical="center"/>
    </xf>
    <xf numFmtId="9" fontId="46" fillId="14" borderId="6" xfId="2" applyFont="1" applyFill="1" applyBorder="1" applyAlignment="1">
      <alignment horizontal="center" vertical="center"/>
    </xf>
    <xf numFmtId="10" fontId="44" fillId="0" borderId="6" xfId="2" applyNumberFormat="1" applyFont="1" applyBorder="1" applyAlignment="1">
      <alignment vertical="center"/>
    </xf>
    <xf numFmtId="10" fontId="44" fillId="0" borderId="6" xfId="2" applyNumberFormat="1" applyFont="1" applyBorder="1" applyAlignment="1">
      <alignment horizontal="right" vertical="center"/>
    </xf>
    <xf numFmtId="9" fontId="10" fillId="0" borderId="0" xfId="2" applyFont="1"/>
    <xf numFmtId="0" fontId="10" fillId="6" borderId="0" xfId="0" applyFont="1" applyFill="1"/>
    <xf numFmtId="0" fontId="14" fillId="6" borderId="0" xfId="0" applyFont="1" applyFill="1"/>
    <xf numFmtId="9" fontId="48" fillId="6" borderId="0" xfId="2" applyFont="1" applyFill="1" applyBorder="1"/>
    <xf numFmtId="9" fontId="50" fillId="6" borderId="0" xfId="2" applyFont="1" applyFill="1" applyBorder="1"/>
    <xf numFmtId="9" fontId="10" fillId="6" borderId="0" xfId="2" applyFont="1" applyFill="1" applyBorder="1"/>
    <xf numFmtId="0" fontId="17" fillId="6" borderId="0" xfId="0" applyFont="1" applyFill="1"/>
    <xf numFmtId="0" fontId="10" fillId="6" borderId="1" xfId="0" applyFont="1" applyFill="1" applyBorder="1"/>
    <xf numFmtId="9" fontId="10" fillId="6" borderId="1" xfId="2" applyFont="1" applyFill="1" applyBorder="1"/>
    <xf numFmtId="166" fontId="10" fillId="6" borderId="1" xfId="2" applyNumberFormat="1" applyFont="1" applyFill="1" applyBorder="1"/>
    <xf numFmtId="164" fontId="10" fillId="6" borderId="1" xfId="0" applyNumberFormat="1" applyFont="1" applyFill="1" applyBorder="1"/>
    <xf numFmtId="44" fontId="10" fillId="6" borderId="1" xfId="0" applyNumberFormat="1" applyFont="1" applyFill="1" applyBorder="1"/>
    <xf numFmtId="166" fontId="10" fillId="6" borderId="0" xfId="2" applyNumberFormat="1" applyFont="1" applyFill="1"/>
    <xf numFmtId="166" fontId="10" fillId="4" borderId="6" xfId="2" applyNumberFormat="1" applyFont="1" applyFill="1" applyBorder="1"/>
    <xf numFmtId="0" fontId="10" fillId="6" borderId="6" xfId="0" applyFont="1" applyFill="1" applyBorder="1"/>
    <xf numFmtId="0" fontId="5" fillId="0" borderId="0" xfId="0" applyFont="1" applyAlignment="1">
      <alignment horizontal="left"/>
    </xf>
    <xf numFmtId="0" fontId="0" fillId="0" borderId="0" xfId="0" applyAlignment="1">
      <alignment horizontal="left"/>
    </xf>
    <xf numFmtId="0" fontId="10" fillId="6" borderId="6" xfId="0" applyFont="1" applyFill="1" applyBorder="1" applyAlignment="1">
      <alignment horizontal="center"/>
    </xf>
    <xf numFmtId="0" fontId="46" fillId="6" borderId="8" xfId="0" applyFont="1" applyFill="1" applyBorder="1" applyAlignment="1">
      <alignment vertical="center"/>
    </xf>
    <xf numFmtId="9" fontId="10" fillId="6" borderId="5" xfId="2" applyFont="1" applyFill="1" applyBorder="1"/>
    <xf numFmtId="14" fontId="10" fillId="6" borderId="5" xfId="0" applyNumberFormat="1" applyFont="1" applyFill="1" applyBorder="1"/>
    <xf numFmtId="0" fontId="14" fillId="6" borderId="5" xfId="0" applyFont="1" applyFill="1" applyBorder="1"/>
    <xf numFmtId="0" fontId="10" fillId="6" borderId="5" xfId="0" applyFont="1" applyFill="1" applyBorder="1"/>
    <xf numFmtId="0" fontId="10" fillId="6" borderId="9" xfId="0" applyFont="1" applyFill="1" applyBorder="1"/>
    <xf numFmtId="0" fontId="46" fillId="6" borderId="10" xfId="0" applyFont="1" applyFill="1" applyBorder="1" applyAlignment="1">
      <alignment vertical="center"/>
    </xf>
    <xf numFmtId="0" fontId="10" fillId="6" borderId="11" xfId="0" applyFont="1" applyFill="1" applyBorder="1"/>
    <xf numFmtId="0" fontId="10" fillId="6" borderId="10" xfId="0" applyFont="1" applyFill="1" applyBorder="1"/>
    <xf numFmtId="0" fontId="49" fillId="6" borderId="10" xfId="0" applyFont="1" applyFill="1" applyBorder="1"/>
    <xf numFmtId="0" fontId="13" fillId="6" borderId="0" xfId="0" applyFont="1" applyFill="1"/>
    <xf numFmtId="0" fontId="17" fillId="6" borderId="10" xfId="0" applyFont="1" applyFill="1" applyBorder="1"/>
    <xf numFmtId="0" fontId="51" fillId="6" borderId="0" xfId="0" applyFont="1" applyFill="1"/>
    <xf numFmtId="10" fontId="10" fillId="6" borderId="0" xfId="0" applyNumberFormat="1" applyFont="1" applyFill="1"/>
    <xf numFmtId="0" fontId="13" fillId="6" borderId="10" xfId="0" applyFont="1" applyFill="1" applyBorder="1"/>
    <xf numFmtId="0" fontId="10" fillId="6" borderId="12" xfId="0" applyFont="1" applyFill="1" applyBorder="1"/>
    <xf numFmtId="0" fontId="10" fillId="6" borderId="13" xfId="0" applyFont="1" applyFill="1" applyBorder="1"/>
    <xf numFmtId="0" fontId="14" fillId="6" borderId="13" xfId="0" applyFont="1" applyFill="1" applyBorder="1"/>
    <xf numFmtId="0" fontId="10" fillId="6" borderId="14" xfId="0" applyFont="1" applyFill="1" applyBorder="1"/>
    <xf numFmtId="0" fontId="54" fillId="6" borderId="0" xfId="0" applyFont="1" applyFill="1" applyAlignment="1">
      <alignment vertical="center"/>
    </xf>
    <xf numFmtId="166" fontId="10" fillId="6" borderId="6" xfId="2" applyNumberFormat="1" applyFont="1" applyFill="1" applyBorder="1"/>
    <xf numFmtId="44" fontId="10" fillId="6" borderId="6" xfId="1" applyFont="1" applyFill="1" applyBorder="1"/>
    <xf numFmtId="0" fontId="10" fillId="6" borderId="8" xfId="0" applyFont="1" applyFill="1" applyBorder="1"/>
    <xf numFmtId="0" fontId="10" fillId="6" borderId="101" xfId="0" applyFont="1" applyFill="1" applyBorder="1"/>
    <xf numFmtId="0" fontId="24" fillId="6" borderId="0" xfId="0" applyFont="1" applyFill="1"/>
    <xf numFmtId="168" fontId="10" fillId="6" borderId="0" xfId="0" applyNumberFormat="1" applyFont="1" applyFill="1"/>
    <xf numFmtId="166" fontId="10" fillId="6" borderId="0" xfId="0" applyNumberFormat="1" applyFont="1" applyFill="1"/>
    <xf numFmtId="0" fontId="26" fillId="6" borderId="0" xfId="0" applyFont="1" applyFill="1" applyAlignment="1">
      <alignment horizontal="left"/>
    </xf>
    <xf numFmtId="0" fontId="26" fillId="6" borderId="0" xfId="0" applyFont="1" applyFill="1"/>
    <xf numFmtId="0" fontId="26" fillId="6" borderId="0" xfId="0" applyFont="1" applyFill="1" applyAlignment="1">
      <alignment horizontal="right"/>
    </xf>
    <xf numFmtId="0" fontId="26" fillId="6" borderId="0" xfId="0" applyFont="1" applyFill="1" applyAlignment="1">
      <alignment horizontal="center"/>
    </xf>
    <xf numFmtId="164" fontId="23" fillId="6" borderId="0" xfId="1" applyNumberFormat="1" applyFont="1" applyFill="1" applyBorder="1"/>
    <xf numFmtId="167" fontId="23" fillId="6" borderId="0" xfId="0" applyNumberFormat="1" applyFont="1" applyFill="1"/>
    <xf numFmtId="44" fontId="23" fillId="6" borderId="0" xfId="0" applyNumberFormat="1" applyFont="1" applyFill="1"/>
    <xf numFmtId="0" fontId="23" fillId="6" borderId="0" xfId="0" applyFont="1" applyFill="1" applyAlignment="1" applyProtection="1">
      <alignment horizontal="center"/>
      <protection locked="0"/>
    </xf>
    <xf numFmtId="164" fontId="23" fillId="6" borderId="0" xfId="1" applyNumberFormat="1" applyFont="1" applyFill="1" applyBorder="1" applyProtection="1">
      <protection locked="0"/>
    </xf>
    <xf numFmtId="166" fontId="10" fillId="6" borderId="0" xfId="2" applyNumberFormat="1" applyFont="1" applyFill="1" applyAlignment="1">
      <alignment horizontal="left"/>
    </xf>
    <xf numFmtId="44" fontId="10" fillId="6" borderId="0" xfId="0" applyNumberFormat="1" applyFont="1" applyFill="1"/>
    <xf numFmtId="0" fontId="17" fillId="6" borderId="2" xfId="0" applyFont="1" applyFill="1" applyBorder="1"/>
    <xf numFmtId="0" fontId="13" fillId="6" borderId="3" xfId="0" applyFont="1" applyFill="1" applyBorder="1"/>
    <xf numFmtId="0" fontId="51" fillId="6" borderId="4" xfId="0" applyFont="1" applyFill="1" applyBorder="1"/>
    <xf numFmtId="0" fontId="0" fillId="0" borderId="0" xfId="0" applyAlignment="1">
      <alignment horizontal="center"/>
    </xf>
    <xf numFmtId="0" fontId="47" fillId="6" borderId="0" xfId="0" applyFont="1" applyFill="1"/>
    <xf numFmtId="0" fontId="58" fillId="9" borderId="1" xfId="0" applyFont="1" applyFill="1" applyBorder="1" applyAlignment="1" applyProtection="1">
      <alignment horizontal="center"/>
      <protection locked="0"/>
    </xf>
    <xf numFmtId="0" fontId="47" fillId="9" borderId="6" xfId="0" applyFont="1" applyFill="1" applyBorder="1" applyAlignment="1" applyProtection="1">
      <alignment horizontal="center"/>
      <protection locked="0"/>
    </xf>
    <xf numFmtId="164" fontId="47" fillId="9" borderId="6" xfId="1" applyNumberFormat="1" applyFont="1" applyFill="1" applyBorder="1" applyProtection="1">
      <protection locked="0"/>
    </xf>
    <xf numFmtId="0" fontId="47" fillId="0" borderId="0" xfId="0" applyFont="1"/>
    <xf numFmtId="0" fontId="47" fillId="8" borderId="0" xfId="0" applyFont="1" applyFill="1" applyAlignment="1" applyProtection="1">
      <alignment horizontal="center"/>
      <protection locked="0"/>
    </xf>
    <xf numFmtId="0" fontId="47" fillId="8" borderId="0" xfId="0" applyFont="1" applyFill="1" applyProtection="1">
      <protection locked="0"/>
    </xf>
    <xf numFmtId="0" fontId="47" fillId="8" borderId="10" xfId="0" applyFont="1" applyFill="1" applyBorder="1"/>
    <xf numFmtId="0" fontId="47" fillId="8" borderId="0" xfId="0" applyFont="1" applyFill="1"/>
    <xf numFmtId="0" fontId="57" fillId="8" borderId="0" xfId="0" applyFont="1" applyFill="1"/>
    <xf numFmtId="0" fontId="47" fillId="8" borderId="11" xfId="0" applyFont="1" applyFill="1" applyBorder="1"/>
    <xf numFmtId="0" fontId="58" fillId="8" borderId="0" xfId="0" applyFont="1" applyFill="1" applyAlignment="1">
      <alignment horizontal="right"/>
    </xf>
    <xf numFmtId="0" fontId="59" fillId="8" borderId="10" xfId="0" applyFont="1" applyFill="1" applyBorder="1"/>
    <xf numFmtId="0" fontId="59" fillId="8" borderId="0" xfId="0" applyFont="1" applyFill="1"/>
    <xf numFmtId="0" fontId="52" fillId="8" borderId="0" xfId="0" applyFont="1" applyFill="1"/>
    <xf numFmtId="0" fontId="58" fillId="8" borderId="0" xfId="0" applyFont="1" applyFill="1"/>
    <xf numFmtId="0" fontId="58" fillId="8" borderId="10" xfId="0" applyFont="1" applyFill="1" applyBorder="1"/>
    <xf numFmtId="0" fontId="56" fillId="8" borderId="10" xfId="0" applyFont="1" applyFill="1" applyBorder="1"/>
    <xf numFmtId="0" fontId="56" fillId="8" borderId="0" xfId="0" applyFont="1" applyFill="1"/>
    <xf numFmtId="0" fontId="56" fillId="8" borderId="0" xfId="0" applyFont="1" applyFill="1" applyAlignment="1">
      <alignment horizontal="left"/>
    </xf>
    <xf numFmtId="0" fontId="56" fillId="8" borderId="0" xfId="0" applyFont="1" applyFill="1" applyAlignment="1">
      <alignment horizontal="right"/>
    </xf>
    <xf numFmtId="0" fontId="56" fillId="8" borderId="0" xfId="0" applyFont="1" applyFill="1" applyAlignment="1">
      <alignment horizontal="center"/>
    </xf>
    <xf numFmtId="0" fontId="53" fillId="8" borderId="10" xfId="0" applyFont="1" applyFill="1" applyBorder="1" applyAlignment="1">
      <alignment horizontal="right"/>
    </xf>
    <xf numFmtId="0" fontId="60" fillId="8" borderId="0" xfId="0" applyFont="1" applyFill="1" applyAlignment="1">
      <alignment horizontal="right"/>
    </xf>
    <xf numFmtId="164" fontId="47" fillId="8" borderId="0" xfId="1" applyNumberFormat="1" applyFont="1" applyFill="1" applyBorder="1" applyProtection="1"/>
    <xf numFmtId="167" fontId="47" fillId="8" borderId="0" xfId="0" applyNumberFormat="1" applyFont="1" applyFill="1"/>
    <xf numFmtId="44" fontId="47" fillId="8" borderId="0" xfId="0" applyNumberFormat="1" applyFont="1" applyFill="1"/>
    <xf numFmtId="0" fontId="59" fillId="8" borderId="0" xfId="0" applyFont="1" applyFill="1" applyAlignment="1">
      <alignment horizontal="center" vertical="center" wrapText="1"/>
    </xf>
    <xf numFmtId="0" fontId="58" fillId="8" borderId="10" xfId="0" applyFont="1" applyFill="1" applyBorder="1" applyAlignment="1">
      <alignment horizontal="right"/>
    </xf>
    <xf numFmtId="167" fontId="58" fillId="8" borderId="1" xfId="0" applyNumberFormat="1" applyFont="1" applyFill="1" applyBorder="1"/>
    <xf numFmtId="9" fontId="47" fillId="8" borderId="0" xfId="2" applyFont="1" applyFill="1" applyBorder="1" applyAlignment="1" applyProtection="1">
      <alignment horizontal="center"/>
    </xf>
    <xf numFmtId="0" fontId="60" fillId="8" borderId="12" xfId="0" applyFont="1" applyFill="1" applyBorder="1"/>
    <xf numFmtId="0" fontId="60" fillId="8" borderId="13" xfId="0" applyFont="1" applyFill="1" applyBorder="1"/>
    <xf numFmtId="0" fontId="47" fillId="8" borderId="13" xfId="0" applyFont="1" applyFill="1" applyBorder="1"/>
    <xf numFmtId="0" fontId="47" fillId="8" borderId="14" xfId="0" applyFont="1" applyFill="1" applyBorder="1"/>
    <xf numFmtId="0" fontId="47" fillId="8" borderId="5" xfId="0" applyFont="1" applyFill="1" applyBorder="1"/>
    <xf numFmtId="0" fontId="47" fillId="8" borderId="9" xfId="0" applyFont="1" applyFill="1" applyBorder="1"/>
    <xf numFmtId="0" fontId="26" fillId="8" borderId="0" xfId="0" applyFont="1" applyFill="1" applyAlignment="1">
      <alignment horizontal="right"/>
    </xf>
    <xf numFmtId="0" fontId="26" fillId="8" borderId="0" xfId="0" applyFont="1" applyFill="1" applyAlignment="1">
      <alignment horizontal="center"/>
    </xf>
    <xf numFmtId="0" fontId="4" fillId="8" borderId="0" xfId="0" applyFont="1" applyFill="1"/>
    <xf numFmtId="0" fontId="23" fillId="9" borderId="6" xfId="0" applyFont="1" applyFill="1" applyBorder="1" applyAlignment="1">
      <alignment horizontal="center"/>
    </xf>
    <xf numFmtId="164" fontId="23" fillId="9" borderId="6" xfId="1" applyNumberFormat="1" applyFont="1" applyFill="1" applyBorder="1" applyProtection="1"/>
    <xf numFmtId="164" fontId="22" fillId="18" borderId="0" xfId="1" applyNumberFormat="1" applyFont="1" applyFill="1" applyBorder="1" applyProtection="1"/>
    <xf numFmtId="167" fontId="23" fillId="8" borderId="0" xfId="0" applyNumberFormat="1" applyFont="1" applyFill="1"/>
    <xf numFmtId="44" fontId="23" fillId="8" borderId="0" xfId="0" applyNumberFormat="1" applyFont="1" applyFill="1"/>
    <xf numFmtId="10" fontId="0" fillId="8" borderId="0" xfId="0" applyNumberFormat="1" applyFill="1"/>
    <xf numFmtId="9" fontId="70" fillId="8" borderId="10" xfId="2" applyFont="1" applyFill="1" applyBorder="1" applyProtection="1"/>
    <xf numFmtId="167" fontId="22" fillId="8" borderId="1" xfId="0" applyNumberFormat="1" applyFont="1" applyFill="1" applyBorder="1"/>
    <xf numFmtId="167" fontId="22" fillId="8" borderId="0" xfId="0" applyNumberFormat="1" applyFont="1" applyFill="1"/>
    <xf numFmtId="0" fontId="70" fillId="8" borderId="10" xfId="0" applyFont="1" applyFill="1" applyBorder="1"/>
    <xf numFmtId="0" fontId="0" fillId="8" borderId="0" xfId="0" applyFill="1"/>
    <xf numFmtId="0" fontId="47" fillId="8" borderId="12" xfId="0" applyFont="1" applyFill="1" applyBorder="1"/>
    <xf numFmtId="0" fontId="47" fillId="8" borderId="0" xfId="0" applyFont="1" applyFill="1" applyAlignment="1">
      <alignment horizontal="left"/>
    </xf>
    <xf numFmtId="0" fontId="61" fillId="8" borderId="10" xfId="0" applyFont="1" applyFill="1" applyBorder="1"/>
    <xf numFmtId="0" fontId="57" fillId="8" borderId="0" xfId="0" applyFont="1" applyFill="1" applyAlignment="1">
      <alignment horizontal="left"/>
    </xf>
    <xf numFmtId="0" fontId="58" fillId="8" borderId="0" xfId="0" applyFont="1" applyFill="1" applyAlignment="1">
      <alignment horizontal="center"/>
    </xf>
    <xf numFmtId="0" fontId="62" fillId="8" borderId="10" xfId="0" applyFont="1" applyFill="1" applyBorder="1"/>
    <xf numFmtId="0" fontId="63" fillId="8" borderId="0" xfId="0" applyFont="1" applyFill="1"/>
    <xf numFmtId="0" fontId="23" fillId="8" borderId="0" xfId="0" applyFont="1" applyFill="1" applyAlignment="1">
      <alignment horizontal="center"/>
    </xf>
    <xf numFmtId="0" fontId="63" fillId="8" borderId="10" xfId="0" applyFont="1" applyFill="1" applyBorder="1"/>
    <xf numFmtId="0" fontId="47" fillId="8" borderId="11" xfId="0" applyFont="1" applyFill="1" applyBorder="1" applyAlignment="1">
      <alignment horizontal="left" wrapText="1"/>
    </xf>
    <xf numFmtId="0" fontId="59" fillId="8" borderId="10" xfId="0" applyFont="1" applyFill="1" applyBorder="1" applyAlignment="1">
      <alignment vertical="center"/>
    </xf>
    <xf numFmtId="0" fontId="59" fillId="8" borderId="0" xfId="0" applyFont="1" applyFill="1" applyAlignment="1">
      <alignment vertical="center"/>
    </xf>
    <xf numFmtId="0" fontId="47" fillId="8" borderId="11" xfId="0" applyFont="1" applyFill="1" applyBorder="1" applyAlignment="1">
      <alignment horizontal="left" vertical="center"/>
    </xf>
    <xf numFmtId="0" fontId="58" fillId="8" borderId="10" xfId="0" applyFont="1" applyFill="1" applyBorder="1" applyAlignment="1">
      <alignment vertical="center"/>
    </xf>
    <xf numFmtId="0" fontId="47" fillId="8" borderId="0" xfId="0" applyFont="1" applyFill="1" applyAlignment="1">
      <alignment vertical="center"/>
    </xf>
    <xf numFmtId="0" fontId="58" fillId="8" borderId="10" xfId="0" applyFont="1" applyFill="1" applyBorder="1" applyAlignment="1">
      <alignment horizontal="left" vertical="center"/>
    </xf>
    <xf numFmtId="0" fontId="47" fillId="8" borderId="0" xfId="0" applyFont="1" applyFill="1" applyAlignment="1">
      <alignment horizontal="left" vertical="center"/>
    </xf>
    <xf numFmtId="0" fontId="58" fillId="8" borderId="12" xfId="0" applyFont="1" applyFill="1" applyBorder="1" applyAlignment="1">
      <alignment horizontal="right"/>
    </xf>
    <xf numFmtId="0" fontId="61" fillId="6" borderId="8" xfId="0" applyFont="1" applyFill="1" applyBorder="1"/>
    <xf numFmtId="0" fontId="47" fillId="6" borderId="5" xfId="0" applyFont="1" applyFill="1" applyBorder="1"/>
    <xf numFmtId="0" fontId="47" fillId="6" borderId="9" xfId="0" applyFont="1" applyFill="1" applyBorder="1"/>
    <xf numFmtId="0" fontId="47" fillId="6" borderId="10" xfId="0" applyFont="1" applyFill="1" applyBorder="1"/>
    <xf numFmtId="0" fontId="47" fillId="6" borderId="11" xfId="0" applyFont="1" applyFill="1" applyBorder="1"/>
    <xf numFmtId="0" fontId="58" fillId="6" borderId="10" xfId="0" applyFont="1" applyFill="1" applyBorder="1"/>
    <xf numFmtId="0" fontId="58" fillId="6" borderId="0" xfId="0" applyFont="1" applyFill="1"/>
    <xf numFmtId="0" fontId="58" fillId="6" borderId="0" xfId="0" applyFont="1" applyFill="1" applyAlignment="1">
      <alignment horizontal="justify" vertical="center"/>
    </xf>
    <xf numFmtId="0" fontId="47" fillId="6" borderId="10" xfId="0" applyFont="1" applyFill="1" applyBorder="1" applyAlignment="1">
      <alignment horizontal="justify" vertical="center"/>
    </xf>
    <xf numFmtId="0" fontId="58" fillId="6" borderId="10" xfId="0" applyFont="1" applyFill="1" applyBorder="1" applyAlignment="1">
      <alignment vertical="center"/>
    </xf>
    <xf numFmtId="0" fontId="58" fillId="6" borderId="0" xfId="0" applyFont="1" applyFill="1" applyAlignment="1">
      <alignment vertical="center"/>
    </xf>
    <xf numFmtId="0" fontId="58" fillId="0" borderId="10" xfId="0" applyFont="1" applyBorder="1" applyAlignment="1">
      <alignment horizontal="left" vertical="center"/>
    </xf>
    <xf numFmtId="0" fontId="58" fillId="6" borderId="0" xfId="0" applyFont="1" applyFill="1" applyAlignment="1">
      <alignment horizontal="left"/>
    </xf>
    <xf numFmtId="0" fontId="47" fillId="6" borderId="0" xfId="0" applyFont="1" applyFill="1" applyAlignment="1">
      <alignment horizontal="left"/>
    </xf>
    <xf numFmtId="0" fontId="47" fillId="6" borderId="10" xfId="0" applyFont="1" applyFill="1" applyBorder="1" applyAlignment="1">
      <alignment vertical="center"/>
    </xf>
    <xf numFmtId="0" fontId="47" fillId="6" borderId="10" xfId="0" applyFont="1" applyFill="1" applyBorder="1" applyAlignment="1">
      <alignment horizontal="left" vertical="top" wrapText="1"/>
    </xf>
    <xf numFmtId="0" fontId="47" fillId="6" borderId="0" xfId="0" applyFont="1" applyFill="1" applyAlignment="1">
      <alignment horizontal="left" vertical="top" wrapText="1"/>
    </xf>
    <xf numFmtId="0" fontId="61" fillId="6" borderId="10" xfId="0" applyFont="1" applyFill="1" applyBorder="1" applyAlignment="1">
      <alignment horizontal="left" vertical="center"/>
    </xf>
    <xf numFmtId="0" fontId="47" fillId="6" borderId="0" xfId="0" applyFont="1" applyFill="1" applyAlignment="1">
      <alignment horizontal="left" vertical="center" indent="1"/>
    </xf>
    <xf numFmtId="0" fontId="47" fillId="6" borderId="10" xfId="0" applyFont="1" applyFill="1" applyBorder="1" applyAlignment="1">
      <alignment horizontal="left" vertical="center" indent="11"/>
    </xf>
    <xf numFmtId="0" fontId="47" fillId="0" borderId="108" xfId="0" applyFont="1" applyBorder="1" applyAlignment="1">
      <alignment horizontal="left" vertical="center" wrapText="1"/>
    </xf>
    <xf numFmtId="0" fontId="47" fillId="0" borderId="101" xfId="0" applyFont="1" applyBorder="1" applyAlignment="1">
      <alignment horizontal="left" vertical="center" wrapText="1"/>
    </xf>
    <xf numFmtId="0" fontId="47" fillId="6" borderId="10" xfId="0" applyFont="1" applyFill="1" applyBorder="1" applyAlignment="1">
      <alignment horizontal="center"/>
    </xf>
    <xf numFmtId="0" fontId="47" fillId="6" borderId="0" xfId="0" applyFont="1" applyFill="1" applyAlignment="1">
      <alignment horizontal="center"/>
    </xf>
    <xf numFmtId="0" fontId="47" fillId="6" borderId="11" xfId="0" applyFont="1" applyFill="1" applyBorder="1" applyAlignment="1">
      <alignment horizontal="center"/>
    </xf>
    <xf numFmtId="0" fontId="47" fillId="6" borderId="12" xfId="0" applyFont="1" applyFill="1" applyBorder="1"/>
    <xf numFmtId="0" fontId="47" fillId="6" borderId="13" xfId="0" applyFont="1" applyFill="1" applyBorder="1"/>
    <xf numFmtId="0" fontId="47" fillId="6" borderId="14" xfId="0" applyFont="1" applyFill="1" applyBorder="1"/>
    <xf numFmtId="0" fontId="22" fillId="6" borderId="0" xfId="0" applyFont="1" applyFill="1" applyAlignment="1">
      <alignment horizontal="left"/>
    </xf>
    <xf numFmtId="44" fontId="47" fillId="6" borderId="0" xfId="0" applyNumberFormat="1" applyFont="1" applyFill="1" applyAlignment="1">
      <alignment horizontal="center"/>
    </xf>
    <xf numFmtId="0" fontId="0" fillId="0" borderId="35" xfId="0" applyBorder="1"/>
    <xf numFmtId="0" fontId="45" fillId="19" borderId="6" xfId="0" applyFont="1" applyFill="1" applyBorder="1" applyAlignment="1">
      <alignment vertical="center"/>
    </xf>
    <xf numFmtId="0" fontId="46" fillId="19" borderId="6" xfId="0" applyFont="1" applyFill="1" applyBorder="1" applyAlignment="1">
      <alignment vertical="center"/>
    </xf>
    <xf numFmtId="9" fontId="46" fillId="19" borderId="6" xfId="2" applyFont="1" applyFill="1" applyBorder="1" applyAlignment="1">
      <alignment horizontal="center" vertical="center"/>
    </xf>
    <xf numFmtId="10" fontId="44" fillId="19" borderId="6" xfId="2" applyNumberFormat="1" applyFont="1" applyFill="1" applyBorder="1" applyAlignment="1">
      <alignment horizontal="right" vertical="center"/>
    </xf>
    <xf numFmtId="44" fontId="58" fillId="0" borderId="6" xfId="0" applyNumberFormat="1" applyFont="1" applyBorder="1" applyAlignment="1">
      <alignment horizontal="left" vertical="center" wrapText="1"/>
    </xf>
    <xf numFmtId="0" fontId="58" fillId="0" borderId="6" xfId="0" applyFont="1" applyBorder="1" applyAlignment="1">
      <alignment horizontal="left" vertical="center" wrapText="1"/>
    </xf>
    <xf numFmtId="44" fontId="47" fillId="0" borderId="102" xfId="0" applyNumberFormat="1" applyFont="1" applyBorder="1" applyAlignment="1">
      <alignment horizontal="left" vertical="center" wrapText="1"/>
    </xf>
    <xf numFmtId="0" fontId="47" fillId="0" borderId="105" xfId="0" applyFont="1" applyBorder="1" applyAlignment="1">
      <alignment horizontal="left" vertical="center" wrapText="1"/>
    </xf>
    <xf numFmtId="0" fontId="47" fillId="0" borderId="103" xfId="0" applyFont="1" applyBorder="1" applyAlignment="1">
      <alignment horizontal="left" vertical="center" wrapText="1"/>
    </xf>
    <xf numFmtId="0" fontId="47" fillId="9" borderId="2" xfId="0" applyFont="1" applyFill="1" applyBorder="1" applyAlignment="1" applyProtection="1">
      <alignment horizontal="left"/>
      <protection locked="0"/>
    </xf>
    <xf numFmtId="0" fontId="47" fillId="9" borderId="3" xfId="0" applyFont="1" applyFill="1" applyBorder="1" applyAlignment="1" applyProtection="1">
      <alignment horizontal="left"/>
      <protection locked="0"/>
    </xf>
    <xf numFmtId="0" fontId="47" fillId="9" borderId="4" xfId="0" applyFont="1" applyFill="1" applyBorder="1" applyAlignment="1" applyProtection="1">
      <alignment horizontal="left"/>
      <protection locked="0"/>
    </xf>
    <xf numFmtId="0" fontId="58" fillId="7" borderId="102" xfId="0" applyFont="1" applyFill="1" applyBorder="1" applyAlignment="1">
      <alignment horizontal="center"/>
    </xf>
    <xf numFmtId="0" fontId="58" fillId="7" borderId="103" xfId="0" applyFont="1" applyFill="1" applyBorder="1" applyAlignment="1">
      <alignment horizontal="center"/>
    </xf>
    <xf numFmtId="0" fontId="58" fillId="7" borderId="38" xfId="0" applyFont="1" applyFill="1" applyBorder="1" applyAlignment="1">
      <alignment horizontal="center" vertical="center" wrapText="1"/>
    </xf>
    <xf numFmtId="0" fontId="58" fillId="7" borderId="46" xfId="0" applyFont="1" applyFill="1" applyBorder="1" applyAlignment="1">
      <alignment horizontal="center" vertical="center" wrapText="1"/>
    </xf>
    <xf numFmtId="0" fontId="58" fillId="7" borderId="104" xfId="0" applyFont="1" applyFill="1" applyBorder="1" applyAlignment="1">
      <alignment horizontal="center" vertical="center" wrapText="1"/>
    </xf>
    <xf numFmtId="0" fontId="58" fillId="6" borderId="10" xfId="0" applyFont="1" applyFill="1" applyBorder="1" applyAlignment="1">
      <alignment horizontal="left"/>
    </xf>
    <xf numFmtId="0" fontId="58" fillId="6" borderId="0" xfId="0" applyFont="1" applyFill="1" applyAlignment="1">
      <alignment horizontal="left"/>
    </xf>
    <xf numFmtId="0" fontId="47" fillId="6" borderId="19" xfId="0" applyFont="1" applyFill="1" applyBorder="1" applyAlignment="1">
      <alignment horizontal="left" vertical="top"/>
    </xf>
    <xf numFmtId="0" fontId="47" fillId="6" borderId="15" xfId="0" applyFont="1" applyFill="1" applyBorder="1" applyAlignment="1">
      <alignment horizontal="left" vertical="top"/>
    </xf>
    <xf numFmtId="0" fontId="47" fillId="6" borderId="109" xfId="0" applyFont="1" applyFill="1" applyBorder="1" applyAlignment="1">
      <alignment horizontal="left" vertical="top"/>
    </xf>
    <xf numFmtId="0" fontId="47" fillId="6" borderId="10" xfId="0" applyFont="1" applyFill="1" applyBorder="1" applyAlignment="1">
      <alignment horizontal="left" vertical="top"/>
    </xf>
    <xf numFmtId="0" fontId="47" fillId="6" borderId="0" xfId="0" applyFont="1" applyFill="1" applyAlignment="1">
      <alignment horizontal="left" vertical="top"/>
    </xf>
    <xf numFmtId="0" fontId="47" fillId="6" borderId="11" xfId="0" applyFont="1" applyFill="1" applyBorder="1" applyAlignment="1">
      <alignment horizontal="left" vertical="top"/>
    </xf>
    <xf numFmtId="0" fontId="47" fillId="6" borderId="20" xfId="0" applyFont="1" applyFill="1" applyBorder="1" applyAlignment="1">
      <alignment horizontal="left" vertical="top"/>
    </xf>
    <xf numFmtId="0" fontId="47" fillId="6" borderId="17" xfId="0" applyFont="1" applyFill="1" applyBorder="1" applyAlignment="1">
      <alignment horizontal="left" vertical="top"/>
    </xf>
    <xf numFmtId="0" fontId="47" fillId="6" borderId="110" xfId="0" applyFont="1" applyFill="1" applyBorder="1" applyAlignment="1">
      <alignment horizontal="left" vertical="top"/>
    </xf>
    <xf numFmtId="169" fontId="58" fillId="6" borderId="0" xfId="0" applyNumberFormat="1" applyFont="1" applyFill="1" applyAlignment="1">
      <alignment horizontal="left"/>
    </xf>
    <xf numFmtId="0" fontId="58" fillId="6" borderId="19" xfId="0" applyFont="1" applyFill="1" applyBorder="1" applyAlignment="1">
      <alignment horizontal="left"/>
    </xf>
    <xf numFmtId="0" fontId="58" fillId="6" borderId="15" xfId="0" applyFont="1" applyFill="1" applyBorder="1" applyAlignment="1">
      <alignment horizontal="left"/>
    </xf>
    <xf numFmtId="0" fontId="47" fillId="6" borderId="0" xfId="0" applyFont="1" applyFill="1" applyAlignment="1">
      <alignment horizontal="left"/>
    </xf>
    <xf numFmtId="0" fontId="47" fillId="6" borderId="0" xfId="0" applyFont="1" applyFill="1" applyAlignment="1">
      <alignment horizontal="center"/>
    </xf>
    <xf numFmtId="0" fontId="61" fillId="6" borderId="10" xfId="0" applyFont="1" applyFill="1" applyBorder="1" applyAlignment="1">
      <alignment horizontal="left" vertical="center"/>
    </xf>
    <xf numFmtId="0" fontId="61" fillId="6" borderId="0" xfId="0" applyFont="1" applyFill="1" applyAlignment="1">
      <alignment horizontal="left" vertical="center"/>
    </xf>
    <xf numFmtId="0" fontId="67" fillId="16" borderId="19" xfId="0" applyFont="1" applyFill="1" applyBorder="1" applyAlignment="1">
      <alignment horizontal="right" vertical="center" wrapText="1"/>
    </xf>
    <xf numFmtId="0" fontId="67" fillId="16" borderId="15" xfId="0" applyFont="1" applyFill="1" applyBorder="1" applyAlignment="1">
      <alignment horizontal="right" vertical="center" wrapText="1"/>
    </xf>
    <xf numFmtId="44" fontId="47" fillId="8" borderId="0" xfId="1" applyFont="1" applyFill="1" applyBorder="1" applyAlignment="1" applyProtection="1">
      <alignment horizontal="center"/>
      <protection locked="0"/>
    </xf>
    <xf numFmtId="0" fontId="47" fillId="8" borderId="0" xfId="0" applyFont="1" applyFill="1" applyAlignment="1" applyProtection="1">
      <alignment horizontal="left"/>
      <protection locked="0"/>
    </xf>
    <xf numFmtId="0" fontId="23" fillId="8" borderId="0" xfId="0" applyFont="1" applyFill="1" applyAlignment="1">
      <alignment horizontal="center"/>
    </xf>
    <xf numFmtId="9" fontId="64" fillId="13" borderId="10" xfId="2" applyFont="1" applyFill="1" applyBorder="1" applyAlignment="1" applyProtection="1">
      <alignment horizontal="right" vertical="center"/>
    </xf>
    <xf numFmtId="9" fontId="64" fillId="13" borderId="0" xfId="2" applyFont="1" applyFill="1" applyBorder="1" applyAlignment="1" applyProtection="1">
      <alignment horizontal="right" vertical="center"/>
    </xf>
    <xf numFmtId="9" fontId="64" fillId="13" borderId="0" xfId="2" applyFont="1" applyFill="1" applyBorder="1" applyAlignment="1" applyProtection="1">
      <alignment horizontal="left" vertical="center"/>
    </xf>
    <xf numFmtId="9" fontId="64" fillId="13" borderId="11" xfId="2" applyFont="1" applyFill="1" applyBorder="1" applyAlignment="1" applyProtection="1">
      <alignment horizontal="left" vertical="center"/>
    </xf>
    <xf numFmtId="0" fontId="60" fillId="9" borderId="2" xfId="0" applyFont="1" applyFill="1" applyBorder="1" applyAlignment="1" applyProtection="1">
      <alignment horizontal="left"/>
      <protection locked="0"/>
    </xf>
    <xf numFmtId="0" fontId="60" fillId="9" borderId="3" xfId="0" applyFont="1" applyFill="1" applyBorder="1" applyAlignment="1" applyProtection="1">
      <alignment horizontal="left"/>
      <protection locked="0"/>
    </xf>
    <xf numFmtId="0" fontId="60" fillId="9" borderId="4" xfId="0" applyFont="1" applyFill="1" applyBorder="1" applyAlignment="1" applyProtection="1">
      <alignment horizontal="left"/>
      <protection locked="0"/>
    </xf>
    <xf numFmtId="49" fontId="47" fillId="9" borderId="2" xfId="0" applyNumberFormat="1" applyFont="1" applyFill="1" applyBorder="1" applyAlignment="1" applyProtection="1">
      <alignment horizontal="left"/>
      <protection locked="0"/>
    </xf>
    <xf numFmtId="49" fontId="47" fillId="9" borderId="3" xfId="0" applyNumberFormat="1" applyFont="1" applyFill="1" applyBorder="1" applyAlignment="1" applyProtection="1">
      <alignment horizontal="left"/>
      <protection locked="0"/>
    </xf>
    <xf numFmtId="49" fontId="47" fillId="9" borderId="4" xfId="0" applyNumberFormat="1" applyFont="1" applyFill="1" applyBorder="1" applyAlignment="1" applyProtection="1">
      <alignment horizontal="left"/>
      <protection locked="0"/>
    </xf>
    <xf numFmtId="0" fontId="69" fillId="0" borderId="10" xfId="0" applyFont="1" applyBorder="1" applyAlignment="1">
      <alignment horizontal="center" vertical="center"/>
    </xf>
    <xf numFmtId="0" fontId="69" fillId="0" borderId="0" xfId="0" applyFont="1" applyAlignment="1">
      <alignment horizontal="center" vertical="center"/>
    </xf>
    <xf numFmtId="0" fontId="69" fillId="0" borderId="11" xfId="0" applyFont="1" applyBorder="1" applyAlignment="1">
      <alignment horizontal="center" vertical="center"/>
    </xf>
    <xf numFmtId="0" fontId="59" fillId="8" borderId="0" xfId="0" applyFont="1" applyFill="1" applyAlignment="1">
      <alignment horizontal="center"/>
    </xf>
    <xf numFmtId="0" fontId="60" fillId="9" borderId="2" xfId="0" applyFont="1" applyFill="1" applyBorder="1" applyProtection="1">
      <protection locked="0"/>
    </xf>
    <xf numFmtId="0" fontId="60" fillId="9" borderId="3" xfId="0" applyFont="1" applyFill="1" applyBorder="1" applyProtection="1">
      <protection locked="0"/>
    </xf>
    <xf numFmtId="0" fontId="60" fillId="9" borderId="4" xfId="0" applyFont="1" applyFill="1" applyBorder="1" applyProtection="1">
      <protection locked="0"/>
    </xf>
    <xf numFmtId="0" fontId="58" fillId="8" borderId="10" xfId="0" applyFont="1" applyFill="1" applyBorder="1" applyAlignment="1">
      <alignment horizontal="left" wrapText="1"/>
    </xf>
    <xf numFmtId="0" fontId="58" fillId="8" borderId="0" xfId="0" applyFont="1" applyFill="1" applyAlignment="1">
      <alignment horizontal="left" wrapText="1"/>
    </xf>
    <xf numFmtId="0" fontId="58" fillId="8" borderId="10" xfId="0" applyFont="1" applyFill="1" applyBorder="1" applyAlignment="1">
      <alignment horizontal="left"/>
    </xf>
    <xf numFmtId="0" fontId="58" fillId="8" borderId="0" xfId="0" applyFont="1" applyFill="1" applyAlignment="1">
      <alignment horizontal="left"/>
    </xf>
    <xf numFmtId="0" fontId="68" fillId="8" borderId="8" xfId="0" applyFont="1" applyFill="1" applyBorder="1" applyAlignment="1">
      <alignment horizontal="center"/>
    </xf>
    <xf numFmtId="0" fontId="68" fillId="8" borderId="5" xfId="0" applyFont="1" applyFill="1" applyBorder="1" applyAlignment="1">
      <alignment horizontal="center"/>
    </xf>
    <xf numFmtId="0" fontId="68" fillId="8" borderId="9" xfId="0" applyFont="1" applyFill="1" applyBorder="1" applyAlignment="1">
      <alignment horizontal="center"/>
    </xf>
    <xf numFmtId="0" fontId="47" fillId="8" borderId="2" xfId="0" applyFont="1" applyFill="1" applyBorder="1" applyAlignment="1">
      <alignment horizontal="center"/>
    </xf>
    <xf numFmtId="0" fontId="47" fillId="8" borderId="3" xfId="0" applyFont="1" applyFill="1" applyBorder="1" applyAlignment="1">
      <alignment horizontal="center"/>
    </xf>
    <xf numFmtId="0" fontId="47" fillId="8" borderId="4" xfId="0" applyFont="1" applyFill="1" applyBorder="1" applyAlignment="1">
      <alignment horizontal="center"/>
    </xf>
    <xf numFmtId="14" fontId="47" fillId="9" borderId="8" xfId="0" applyNumberFormat="1" applyFont="1" applyFill="1" applyBorder="1" applyAlignment="1" applyProtection="1">
      <alignment horizontal="center"/>
      <protection locked="0"/>
    </xf>
    <xf numFmtId="14" fontId="47" fillId="9" borderId="5" xfId="0" applyNumberFormat="1" applyFont="1" applyFill="1" applyBorder="1" applyAlignment="1" applyProtection="1">
      <alignment horizontal="center"/>
      <protection locked="0"/>
    </xf>
    <xf numFmtId="14" fontId="47" fillId="9" borderId="9" xfId="0" applyNumberFormat="1" applyFont="1" applyFill="1" applyBorder="1" applyAlignment="1" applyProtection="1">
      <alignment horizontal="center"/>
      <protection locked="0"/>
    </xf>
    <xf numFmtId="0" fontId="47" fillId="9" borderId="2" xfId="0" applyFont="1" applyFill="1" applyBorder="1" applyAlignment="1" applyProtection="1">
      <alignment horizontal="center"/>
      <protection locked="0"/>
    </xf>
    <xf numFmtId="0" fontId="47" fillId="9" borderId="3" xfId="0" applyFont="1" applyFill="1" applyBorder="1" applyAlignment="1" applyProtection="1">
      <alignment horizontal="center"/>
      <protection locked="0"/>
    </xf>
    <xf numFmtId="0" fontId="47" fillId="9" borderId="4" xfId="0" applyFont="1" applyFill="1" applyBorder="1" applyAlignment="1" applyProtection="1">
      <alignment horizontal="center"/>
      <protection locked="0"/>
    </xf>
    <xf numFmtId="0" fontId="59" fillId="8" borderId="10" xfId="0" applyFont="1" applyFill="1" applyBorder="1" applyAlignment="1">
      <alignment horizontal="left"/>
    </xf>
    <xf numFmtId="0" fontId="59" fillId="8" borderId="0" xfId="0" applyFont="1" applyFill="1" applyAlignment="1">
      <alignment horizontal="left"/>
    </xf>
    <xf numFmtId="9" fontId="47" fillId="9" borderId="2" xfId="2" applyFont="1" applyFill="1" applyBorder="1" applyAlignment="1" applyProtection="1">
      <alignment horizontal="center"/>
      <protection locked="0"/>
    </xf>
    <xf numFmtId="9" fontId="47" fillId="9" borderId="3" xfId="2" applyFont="1" applyFill="1" applyBorder="1" applyAlignment="1" applyProtection="1">
      <alignment horizontal="center"/>
      <protection locked="0"/>
    </xf>
    <xf numFmtId="9" fontId="47" fillId="9" borderId="4" xfId="2" applyFont="1" applyFill="1" applyBorder="1" applyAlignment="1" applyProtection="1">
      <alignment horizontal="center"/>
      <protection locked="0"/>
    </xf>
    <xf numFmtId="44" fontId="47" fillId="8" borderId="2" xfId="1" applyFont="1" applyFill="1" applyBorder="1" applyAlignment="1" applyProtection="1">
      <alignment horizontal="center"/>
    </xf>
    <xf numFmtId="44" fontId="47" fillId="8" borderId="4" xfId="1" applyFont="1" applyFill="1" applyBorder="1" applyAlignment="1" applyProtection="1">
      <alignment horizontal="center"/>
    </xf>
    <xf numFmtId="49" fontId="47" fillId="9" borderId="2" xfId="0" applyNumberFormat="1" applyFont="1" applyFill="1" applyBorder="1" applyAlignment="1" applyProtection="1">
      <alignment horizontal="center"/>
      <protection locked="0"/>
    </xf>
    <xf numFmtId="49" fontId="47" fillId="9" borderId="3" xfId="0" applyNumberFormat="1" applyFont="1" applyFill="1" applyBorder="1" applyAlignment="1" applyProtection="1">
      <alignment horizontal="center"/>
      <protection locked="0"/>
    </xf>
    <xf numFmtId="49" fontId="47" fillId="9" borderId="4" xfId="0" applyNumberFormat="1" applyFont="1" applyFill="1" applyBorder="1" applyAlignment="1" applyProtection="1">
      <alignment horizontal="center"/>
      <protection locked="0"/>
    </xf>
    <xf numFmtId="0" fontId="58" fillId="8" borderId="11" xfId="0" applyFont="1" applyFill="1" applyBorder="1" applyAlignment="1">
      <alignment horizontal="left"/>
    </xf>
    <xf numFmtId="0" fontId="68" fillId="8" borderId="8" xfId="0" applyFont="1" applyFill="1" applyBorder="1" applyAlignment="1">
      <alignment horizontal="left"/>
    </xf>
    <xf numFmtId="0" fontId="68" fillId="8" borderId="5" xfId="0" applyFont="1" applyFill="1" applyBorder="1" applyAlignment="1">
      <alignment horizontal="left"/>
    </xf>
    <xf numFmtId="0" fontId="68" fillId="8" borderId="10" xfId="0" applyFont="1" applyFill="1" applyBorder="1" applyAlignment="1">
      <alignment horizontal="left"/>
    </xf>
    <xf numFmtId="0" fontId="68" fillId="8" borderId="0" xfId="0" applyFont="1" applyFill="1" applyAlignment="1">
      <alignment horizontal="left"/>
    </xf>
    <xf numFmtId="0" fontId="68" fillId="8" borderId="8" xfId="0" applyFont="1" applyFill="1" applyBorder="1" applyAlignment="1">
      <alignment horizontal="left" vertical="center"/>
    </xf>
    <xf numFmtId="0" fontId="68" fillId="8" borderId="5" xfId="0" applyFont="1" applyFill="1" applyBorder="1" applyAlignment="1">
      <alignment horizontal="left" vertical="center"/>
    </xf>
    <xf numFmtId="0" fontId="68" fillId="8" borderId="10" xfId="0" applyFont="1" applyFill="1" applyBorder="1" applyAlignment="1">
      <alignment horizontal="left" vertical="center"/>
    </xf>
    <xf numFmtId="0" fontId="68" fillId="8" borderId="0" xfId="0" applyFont="1" applyFill="1" applyAlignment="1">
      <alignment horizontal="left" vertical="center"/>
    </xf>
    <xf numFmtId="0" fontId="59" fillId="8" borderId="10" xfId="0" applyFont="1" applyFill="1" applyBorder="1" applyAlignment="1">
      <alignment horizontal="center"/>
    </xf>
    <xf numFmtId="0" fontId="10" fillId="6" borderId="0" xfId="0" applyFont="1" applyFill="1" applyAlignment="1">
      <alignment horizontal="left"/>
    </xf>
    <xf numFmtId="0" fontId="59" fillId="8" borderId="10" xfId="0" applyFont="1" applyFill="1" applyBorder="1" applyAlignment="1">
      <alignment horizontal="center" vertical="center" wrapText="1"/>
    </xf>
    <xf numFmtId="44" fontId="58" fillId="8" borderId="2" xfId="1" applyFont="1" applyFill="1" applyBorder="1" applyAlignment="1" applyProtection="1">
      <alignment horizontal="center"/>
    </xf>
    <xf numFmtId="44" fontId="58" fillId="8" borderId="4" xfId="1" applyFont="1" applyFill="1" applyBorder="1" applyAlignment="1" applyProtection="1">
      <alignment horizontal="center"/>
    </xf>
    <xf numFmtId="9" fontId="55" fillId="17" borderId="10" xfId="0" applyNumberFormat="1" applyFont="1" applyFill="1" applyBorder="1" applyAlignment="1">
      <alignment horizontal="center" vertical="center"/>
    </xf>
    <xf numFmtId="0" fontId="47" fillId="9" borderId="19" xfId="0" applyFont="1" applyFill="1" applyBorder="1" applyAlignment="1" applyProtection="1">
      <alignment horizontal="left" vertical="top" wrapText="1"/>
      <protection locked="0"/>
    </xf>
    <xf numFmtId="0" fontId="47" fillId="9" borderId="15" xfId="0" applyFont="1" applyFill="1" applyBorder="1" applyAlignment="1" applyProtection="1">
      <alignment horizontal="left" vertical="top" wrapText="1"/>
      <protection locked="0"/>
    </xf>
    <xf numFmtId="0" fontId="47" fillId="9" borderId="16" xfId="0" applyFont="1" applyFill="1" applyBorder="1" applyAlignment="1" applyProtection="1">
      <alignment horizontal="left" vertical="top" wrapText="1"/>
      <protection locked="0"/>
    </xf>
    <xf numFmtId="0" fontId="47" fillId="9" borderId="10" xfId="0" applyFont="1" applyFill="1" applyBorder="1" applyAlignment="1" applyProtection="1">
      <alignment horizontal="left" vertical="top" wrapText="1"/>
      <protection locked="0"/>
    </xf>
    <xf numFmtId="0" fontId="47" fillId="9" borderId="0" xfId="0" applyFont="1" applyFill="1" applyAlignment="1" applyProtection="1">
      <alignment horizontal="left" vertical="top" wrapText="1"/>
      <protection locked="0"/>
    </xf>
    <xf numFmtId="0" fontId="47" fillId="9" borderId="35" xfId="0" applyFont="1" applyFill="1" applyBorder="1" applyAlignment="1" applyProtection="1">
      <alignment horizontal="left" vertical="top" wrapText="1"/>
      <protection locked="0"/>
    </xf>
    <xf numFmtId="0" fontId="47" fillId="9" borderId="20" xfId="0" applyFont="1" applyFill="1" applyBorder="1" applyAlignment="1" applyProtection="1">
      <alignment horizontal="left" vertical="top" wrapText="1"/>
      <protection locked="0"/>
    </xf>
    <xf numFmtId="0" fontId="47" fillId="9" borderId="17" xfId="0" applyFont="1" applyFill="1" applyBorder="1" applyAlignment="1" applyProtection="1">
      <alignment horizontal="left" vertical="top" wrapText="1"/>
      <protection locked="0"/>
    </xf>
    <xf numFmtId="0" fontId="47" fillId="9" borderId="18" xfId="0" applyFont="1" applyFill="1" applyBorder="1" applyAlignment="1" applyProtection="1">
      <alignment horizontal="left" vertical="top" wrapText="1"/>
      <protection locked="0"/>
    </xf>
    <xf numFmtId="0" fontId="47" fillId="7" borderId="6" xfId="0" applyFont="1" applyFill="1" applyBorder="1" applyAlignment="1">
      <alignment horizontal="center" vertical="center"/>
    </xf>
    <xf numFmtId="0" fontId="47" fillId="7" borderId="6" xfId="0" applyFont="1" applyFill="1" applyBorder="1" applyAlignment="1">
      <alignment horizontal="center"/>
    </xf>
    <xf numFmtId="14" fontId="47" fillId="7" borderId="6" xfId="0" applyNumberFormat="1" applyFont="1" applyFill="1" applyBorder="1" applyAlignment="1">
      <alignment horizontal="center" vertical="center"/>
    </xf>
    <xf numFmtId="0" fontId="47" fillId="6" borderId="10" xfId="0" applyFont="1" applyFill="1" applyBorder="1" applyAlignment="1">
      <alignment horizontal="left" vertical="top" wrapText="1"/>
    </xf>
    <xf numFmtId="0" fontId="47" fillId="6" borderId="0" xfId="0" applyFont="1" applyFill="1" applyAlignment="1">
      <alignment horizontal="left" vertical="top" wrapText="1"/>
    </xf>
    <xf numFmtId="0" fontId="58" fillId="6" borderId="101" xfId="0" applyFont="1" applyFill="1" applyBorder="1" applyAlignment="1">
      <alignment horizontal="center"/>
    </xf>
    <xf numFmtId="0" fontId="58" fillId="6" borderId="6" xfId="0" applyFont="1" applyFill="1" applyBorder="1" applyAlignment="1">
      <alignment horizontal="center"/>
    </xf>
    <xf numFmtId="0" fontId="47" fillId="7" borderId="101" xfId="0" applyFont="1" applyFill="1" applyBorder="1" applyAlignment="1">
      <alignment horizontal="left" vertical="center"/>
    </xf>
    <xf numFmtId="0" fontId="47" fillId="7" borderId="6" xfId="0" applyFont="1" applyFill="1" applyBorder="1" applyAlignment="1">
      <alignment horizontal="left" vertical="center"/>
    </xf>
    <xf numFmtId="0" fontId="47" fillId="9" borderId="8" xfId="0" applyFont="1" applyFill="1" applyBorder="1" applyAlignment="1" applyProtection="1">
      <alignment horizontal="left" vertical="top" wrapText="1"/>
      <protection locked="0"/>
    </xf>
    <xf numFmtId="0" fontId="47" fillId="9" borderId="5" xfId="0" applyFont="1" applyFill="1" applyBorder="1" applyAlignment="1" applyProtection="1">
      <alignment horizontal="left" vertical="top" wrapText="1"/>
      <protection locked="0"/>
    </xf>
    <xf numFmtId="0" fontId="47" fillId="9" borderId="9" xfId="0" applyFont="1" applyFill="1" applyBorder="1" applyAlignment="1" applyProtection="1">
      <alignment horizontal="left" vertical="top" wrapText="1"/>
      <protection locked="0"/>
    </xf>
    <xf numFmtId="0" fontId="47" fillId="9" borderId="12" xfId="0" applyFont="1" applyFill="1" applyBorder="1" applyAlignment="1" applyProtection="1">
      <alignment horizontal="left" vertical="top" wrapText="1"/>
      <protection locked="0"/>
    </xf>
    <xf numFmtId="0" fontId="47" fillId="9" borderId="13" xfId="0" applyFont="1" applyFill="1" applyBorder="1" applyAlignment="1" applyProtection="1">
      <alignment horizontal="left" vertical="top" wrapText="1"/>
      <protection locked="0"/>
    </xf>
    <xf numFmtId="0" fontId="47" fillId="9" borderId="14" xfId="0" applyFont="1" applyFill="1" applyBorder="1" applyAlignment="1" applyProtection="1">
      <alignment horizontal="left" vertical="top" wrapText="1"/>
      <protection locked="0"/>
    </xf>
    <xf numFmtId="0" fontId="47" fillId="9" borderId="5" xfId="0" applyFont="1" applyFill="1" applyBorder="1" applyAlignment="1" applyProtection="1">
      <alignment horizontal="center"/>
      <protection locked="0"/>
    </xf>
    <xf numFmtId="0" fontId="47" fillId="9" borderId="9" xfId="0" applyFont="1" applyFill="1" applyBorder="1" applyAlignment="1" applyProtection="1">
      <alignment horizontal="center"/>
      <protection locked="0"/>
    </xf>
    <xf numFmtId="0" fontId="47" fillId="9" borderId="12" xfId="0" applyFont="1" applyFill="1" applyBorder="1" applyAlignment="1" applyProtection="1">
      <alignment horizontal="center"/>
      <protection locked="0"/>
    </xf>
    <xf numFmtId="0" fontId="47" fillId="9" borderId="13" xfId="0" applyFont="1" applyFill="1" applyBorder="1" applyAlignment="1" applyProtection="1">
      <alignment horizontal="center"/>
      <protection locked="0"/>
    </xf>
    <xf numFmtId="0" fontId="47" fillId="9" borderId="14" xfId="0" applyFont="1" applyFill="1" applyBorder="1" applyAlignment="1" applyProtection="1">
      <alignment horizontal="center"/>
      <protection locked="0"/>
    </xf>
    <xf numFmtId="0" fontId="57" fillId="6" borderId="52" xfId="0" applyFont="1" applyFill="1" applyBorder="1" applyAlignment="1">
      <alignment horizontal="center" vertical="center" wrapText="1"/>
    </xf>
    <xf numFmtId="0" fontId="57" fillId="6" borderId="0" xfId="0" applyFont="1" applyFill="1" applyAlignment="1">
      <alignment horizontal="center" vertical="center" wrapText="1"/>
    </xf>
    <xf numFmtId="44" fontId="58" fillId="0" borderId="102" xfId="0" applyNumberFormat="1" applyFont="1" applyBorder="1" applyAlignment="1">
      <alignment horizontal="left" vertical="center" wrapText="1"/>
    </xf>
    <xf numFmtId="0" fontId="58" fillId="0" borderId="105" xfId="0" applyFont="1" applyBorder="1" applyAlignment="1">
      <alignment horizontal="left" vertical="center" wrapText="1"/>
    </xf>
    <xf numFmtId="0" fontId="58" fillId="0" borderId="103" xfId="0" applyFont="1" applyBorder="1" applyAlignment="1">
      <alignment horizontal="left" vertical="center" wrapText="1"/>
    </xf>
    <xf numFmtId="0" fontId="47" fillId="0" borderId="104" xfId="0" applyFont="1" applyBorder="1" applyAlignment="1">
      <alignment horizontal="center" vertical="center"/>
    </xf>
    <xf numFmtId="0" fontId="47" fillId="0" borderId="106" xfId="0" applyFont="1" applyBorder="1" applyAlignment="1">
      <alignment horizontal="center" vertical="center" wrapText="1"/>
    </xf>
    <xf numFmtId="0" fontId="47" fillId="0" borderId="18" xfId="0" applyFont="1" applyBorder="1" applyAlignment="1">
      <alignment horizontal="center" vertical="center" wrapText="1"/>
    </xf>
    <xf numFmtId="164" fontId="47" fillId="0" borderId="106" xfId="0" applyNumberFormat="1" applyFont="1" applyBorder="1" applyAlignment="1">
      <alignment horizontal="center" vertical="center" wrapText="1"/>
    </xf>
    <xf numFmtId="44" fontId="47" fillId="0" borderId="104" xfId="0" applyNumberFormat="1" applyFont="1" applyBorder="1" applyAlignment="1">
      <alignment horizontal="center" vertical="center" wrapText="1"/>
    </xf>
    <xf numFmtId="0" fontId="47" fillId="0" borderId="104" xfId="0" applyFont="1" applyBorder="1" applyAlignment="1">
      <alignment horizontal="center" vertical="center" wrapText="1"/>
    </xf>
    <xf numFmtId="0" fontId="66" fillId="14" borderId="10" xfId="0" applyFont="1" applyFill="1" applyBorder="1" applyAlignment="1">
      <alignment vertical="center" wrapText="1"/>
    </xf>
    <xf numFmtId="0" fontId="66" fillId="14" borderId="0" xfId="0" applyFont="1" applyFill="1" applyAlignment="1">
      <alignment vertical="center" wrapText="1"/>
    </xf>
    <xf numFmtId="0" fontId="66" fillId="14" borderId="35" xfId="0" applyFont="1" applyFill="1" applyBorder="1" applyAlignment="1">
      <alignment vertical="center" wrapText="1"/>
    </xf>
    <xf numFmtId="0" fontId="58" fillId="0" borderId="99" xfId="0" applyFont="1" applyBorder="1" applyAlignment="1">
      <alignment horizontal="center" vertical="center" wrapText="1"/>
    </xf>
    <xf numFmtId="0" fontId="58" fillId="0" borderId="107" xfId="0" applyFont="1" applyBorder="1" applyAlignment="1">
      <alignment horizontal="center" vertical="center" wrapText="1"/>
    </xf>
    <xf numFmtId="0" fontId="58" fillId="0" borderId="100" xfId="0" applyFont="1" applyBorder="1" applyAlignment="1">
      <alignment horizontal="center" vertical="center" wrapText="1"/>
    </xf>
    <xf numFmtId="0" fontId="65" fillId="15" borderId="2" xfId="0" applyFont="1" applyFill="1" applyBorder="1" applyAlignment="1">
      <alignment horizontal="center" vertical="center" wrapText="1"/>
    </xf>
    <xf numFmtId="0" fontId="65" fillId="15" borderId="4" xfId="0" applyFont="1" applyFill="1" applyBorder="1" applyAlignment="1">
      <alignment horizontal="center" vertical="center" wrapText="1"/>
    </xf>
    <xf numFmtId="0" fontId="17" fillId="8" borderId="10" xfId="0" applyFont="1" applyFill="1" applyBorder="1" applyAlignment="1">
      <alignment horizontal="left"/>
    </xf>
    <xf numFmtId="0" fontId="17" fillId="8" borderId="0" xfId="0" applyFont="1" applyFill="1" applyAlignment="1">
      <alignment horizontal="left"/>
    </xf>
    <xf numFmtId="0" fontId="18" fillId="8" borderId="8" xfId="0" applyFont="1" applyFill="1" applyBorder="1" applyAlignment="1">
      <alignment horizontal="center"/>
    </xf>
    <xf numFmtId="0" fontId="18" fillId="8" borderId="5" xfId="0" applyFont="1" applyFill="1" applyBorder="1" applyAlignment="1">
      <alignment horizontal="center"/>
    </xf>
    <xf numFmtId="0" fontId="18" fillId="8" borderId="9" xfId="0" applyFont="1" applyFill="1" applyBorder="1" applyAlignment="1">
      <alignment horizontal="center"/>
    </xf>
    <xf numFmtId="0" fontId="18" fillId="8" borderId="10" xfId="0" applyFont="1" applyFill="1" applyBorder="1" applyAlignment="1">
      <alignment horizontal="center"/>
    </xf>
    <xf numFmtId="0" fontId="18" fillId="8" borderId="0" xfId="0" applyFont="1" applyFill="1" applyAlignment="1">
      <alignment horizontal="center"/>
    </xf>
    <xf numFmtId="0" fontId="18" fillId="8" borderId="11" xfId="0" applyFont="1" applyFill="1" applyBorder="1" applyAlignment="1">
      <alignment horizontal="center"/>
    </xf>
    <xf numFmtId="0" fontId="23" fillId="8" borderId="2" xfId="0" applyFont="1" applyFill="1" applyBorder="1" applyAlignment="1">
      <alignment horizontal="center"/>
    </xf>
    <xf numFmtId="0" fontId="23" fillId="8" borderId="3" xfId="0" applyFont="1" applyFill="1" applyBorder="1" applyAlignment="1">
      <alignment horizontal="center"/>
    </xf>
    <xf numFmtId="0" fontId="23" fillId="8" borderId="4" xfId="0" applyFont="1" applyFill="1" applyBorder="1" applyAlignment="1">
      <alignment horizontal="center"/>
    </xf>
    <xf numFmtId="14" fontId="23" fillId="9" borderId="8" xfId="0" applyNumberFormat="1" applyFont="1" applyFill="1" applyBorder="1" applyAlignment="1" applyProtection="1">
      <alignment horizontal="center"/>
      <protection locked="0"/>
    </xf>
    <xf numFmtId="14" fontId="23" fillId="9" borderId="5" xfId="0" applyNumberFormat="1" applyFont="1" applyFill="1" applyBorder="1" applyAlignment="1" applyProtection="1">
      <alignment horizontal="center"/>
      <protection locked="0"/>
    </xf>
    <xf numFmtId="14" fontId="23" fillId="9" borderId="9" xfId="0" applyNumberFormat="1" applyFont="1" applyFill="1" applyBorder="1" applyAlignment="1" applyProtection="1">
      <alignment horizontal="center"/>
      <protection locked="0"/>
    </xf>
    <xf numFmtId="0" fontId="23" fillId="9" borderId="2" xfId="0" applyFont="1" applyFill="1" applyBorder="1" applyAlignment="1" applyProtection="1">
      <alignment horizontal="center"/>
      <protection locked="0"/>
    </xf>
    <xf numFmtId="0" fontId="23" fillId="9" borderId="3" xfId="0" applyFont="1" applyFill="1" applyBorder="1" applyAlignment="1" applyProtection="1">
      <alignment horizontal="center"/>
      <protection locked="0"/>
    </xf>
    <xf numFmtId="0" fontId="23" fillId="9" borderId="4" xfId="0" applyFont="1" applyFill="1" applyBorder="1" applyAlignment="1" applyProtection="1">
      <alignment horizontal="center"/>
      <protection locked="0"/>
    </xf>
    <xf numFmtId="49" fontId="23" fillId="9" borderId="2" xfId="0" applyNumberFormat="1" applyFont="1" applyFill="1" applyBorder="1" applyAlignment="1" applyProtection="1">
      <alignment horizontal="center"/>
      <protection locked="0"/>
    </xf>
    <xf numFmtId="49" fontId="23" fillId="9" borderId="3" xfId="0" applyNumberFormat="1" applyFont="1" applyFill="1" applyBorder="1" applyAlignment="1" applyProtection="1">
      <alignment horizontal="center"/>
      <protection locked="0"/>
    </xf>
    <xf numFmtId="49" fontId="23" fillId="9" borderId="4" xfId="0" applyNumberFormat="1" applyFont="1" applyFill="1" applyBorder="1" applyAlignment="1" applyProtection="1">
      <alignment horizontal="center"/>
      <protection locked="0"/>
    </xf>
    <xf numFmtId="0" fontId="24" fillId="8" borderId="10" xfId="0" applyFont="1" applyFill="1" applyBorder="1" applyAlignment="1">
      <alignment horizontal="center" vertical="center" wrapText="1"/>
    </xf>
    <xf numFmtId="44" fontId="23" fillId="8" borderId="2" xfId="1" applyFont="1" applyFill="1" applyBorder="1" applyAlignment="1">
      <alignment horizontal="center"/>
    </xf>
    <xf numFmtId="44" fontId="23" fillId="8" borderId="4" xfId="1" applyFont="1" applyFill="1" applyBorder="1" applyAlignment="1">
      <alignment horizontal="center"/>
    </xf>
    <xf numFmtId="0" fontId="39" fillId="8" borderId="10" xfId="0" applyFont="1" applyFill="1" applyBorder="1" applyAlignment="1">
      <alignment horizontal="left"/>
    </xf>
    <xf numFmtId="0" fontId="39" fillId="8" borderId="0" xfId="0" applyFont="1" applyFill="1" applyAlignment="1">
      <alignment horizontal="left"/>
    </xf>
    <xf numFmtId="0" fontId="20" fillId="8" borderId="0" xfId="0" applyFont="1" applyFill="1" applyAlignment="1">
      <alignment horizontal="left" vertical="center" wrapText="1"/>
    </xf>
    <xf numFmtId="0" fontId="20" fillId="8" borderId="11" xfId="0" applyFont="1" applyFill="1" applyBorder="1" applyAlignment="1">
      <alignment horizontal="left" vertical="center" wrapText="1"/>
    </xf>
    <xf numFmtId="44" fontId="22" fillId="8" borderId="2" xfId="1" applyFont="1" applyFill="1" applyBorder="1" applyAlignment="1">
      <alignment horizontal="center"/>
    </xf>
    <xf numFmtId="44" fontId="22" fillId="8" borderId="4" xfId="1" applyFont="1" applyFill="1" applyBorder="1" applyAlignment="1">
      <alignment horizontal="center"/>
    </xf>
    <xf numFmtId="0" fontId="10" fillId="8" borderId="0" xfId="0" applyFont="1" applyFill="1" applyProtection="1">
      <protection locked="0"/>
    </xf>
    <xf numFmtId="0" fontId="23" fillId="9" borderId="2" xfId="0" applyFont="1" applyFill="1" applyBorder="1" applyAlignment="1" applyProtection="1">
      <alignment horizontal="left"/>
      <protection locked="0"/>
    </xf>
    <xf numFmtId="0" fontId="23" fillId="9" borderId="3" xfId="0" applyFont="1" applyFill="1" applyBorder="1" applyAlignment="1" applyProtection="1">
      <alignment horizontal="left"/>
      <protection locked="0"/>
    </xf>
    <xf numFmtId="0" fontId="23" fillId="9" borderId="4" xfId="0" applyFont="1" applyFill="1" applyBorder="1" applyAlignment="1" applyProtection="1">
      <alignment horizontal="left"/>
      <protection locked="0"/>
    </xf>
    <xf numFmtId="0" fontId="27" fillId="9" borderId="2" xfId="0" applyFont="1" applyFill="1" applyBorder="1" applyAlignment="1" applyProtection="1">
      <alignment horizontal="left"/>
      <protection locked="0"/>
    </xf>
    <xf numFmtId="0" fontId="27" fillId="9" borderId="3" xfId="0" applyFont="1" applyFill="1" applyBorder="1" applyAlignment="1" applyProtection="1">
      <alignment horizontal="left"/>
      <protection locked="0"/>
    </xf>
    <xf numFmtId="0" fontId="27" fillId="9" borderId="4" xfId="0" applyFont="1" applyFill="1" applyBorder="1" applyAlignment="1" applyProtection="1">
      <alignment horizontal="left"/>
      <protection locked="0"/>
    </xf>
    <xf numFmtId="0" fontId="23" fillId="9" borderId="19" xfId="0" applyFont="1" applyFill="1" applyBorder="1" applyAlignment="1" applyProtection="1">
      <alignment horizontal="left" vertical="top" wrapText="1"/>
      <protection locked="0"/>
    </xf>
    <xf numFmtId="0" fontId="23" fillId="9" borderId="15" xfId="0" applyFont="1" applyFill="1" applyBorder="1" applyAlignment="1" applyProtection="1">
      <alignment horizontal="left" vertical="top" wrapText="1"/>
      <protection locked="0"/>
    </xf>
    <xf numFmtId="0" fontId="23" fillId="9" borderId="16" xfId="0" applyFont="1" applyFill="1" applyBorder="1" applyAlignment="1" applyProtection="1">
      <alignment horizontal="left" vertical="top" wrapText="1"/>
      <protection locked="0"/>
    </xf>
    <xf numFmtId="0" fontId="23" fillId="9" borderId="10" xfId="0" applyFont="1" applyFill="1" applyBorder="1" applyAlignment="1" applyProtection="1">
      <alignment horizontal="left" vertical="top" wrapText="1"/>
      <protection locked="0"/>
    </xf>
    <xf numFmtId="0" fontId="23" fillId="9" borderId="0" xfId="0" applyFont="1" applyFill="1" applyAlignment="1" applyProtection="1">
      <alignment horizontal="left" vertical="top" wrapText="1"/>
      <protection locked="0"/>
    </xf>
    <xf numFmtId="0" fontId="23" fillId="9" borderId="35" xfId="0" applyFont="1" applyFill="1" applyBorder="1" applyAlignment="1" applyProtection="1">
      <alignment horizontal="left" vertical="top" wrapText="1"/>
      <protection locked="0"/>
    </xf>
    <xf numFmtId="0" fontId="23" fillId="9" borderId="20" xfId="0" applyFont="1" applyFill="1" applyBorder="1" applyAlignment="1" applyProtection="1">
      <alignment horizontal="left" vertical="top" wrapText="1"/>
      <protection locked="0"/>
    </xf>
    <xf numFmtId="0" fontId="23" fillId="9" borderId="17" xfId="0" applyFont="1" applyFill="1" applyBorder="1" applyAlignment="1" applyProtection="1">
      <alignment horizontal="left" vertical="top" wrapText="1"/>
      <protection locked="0"/>
    </xf>
    <xf numFmtId="0" fontId="23" fillId="9" borderId="18" xfId="0" applyFont="1" applyFill="1" applyBorder="1" applyAlignment="1" applyProtection="1">
      <alignment horizontal="left" vertical="top" wrapText="1"/>
      <protection locked="0"/>
    </xf>
    <xf numFmtId="0" fontId="10" fillId="8" borderId="10" xfId="0" applyFont="1" applyFill="1" applyBorder="1" applyAlignment="1">
      <alignment horizontal="right" wrapText="1"/>
    </xf>
    <xf numFmtId="0" fontId="27" fillId="9" borderId="2" xfId="0" applyFont="1" applyFill="1" applyBorder="1" applyProtection="1">
      <protection locked="0"/>
    </xf>
    <xf numFmtId="0" fontId="27" fillId="9" borderId="3" xfId="0" applyFont="1" applyFill="1" applyBorder="1" applyProtection="1">
      <protection locked="0"/>
    </xf>
    <xf numFmtId="0" fontId="27" fillId="9" borderId="4" xfId="0" applyFont="1" applyFill="1" applyBorder="1" applyProtection="1">
      <protection locked="0"/>
    </xf>
    <xf numFmtId="0" fontId="23" fillId="9" borderId="8" xfId="0" applyFont="1" applyFill="1" applyBorder="1" applyAlignment="1" applyProtection="1">
      <alignment horizontal="left" vertical="top" wrapText="1"/>
      <protection locked="0"/>
    </xf>
    <xf numFmtId="0" fontId="23" fillId="9" borderId="5" xfId="0" applyFont="1" applyFill="1" applyBorder="1" applyAlignment="1" applyProtection="1">
      <alignment horizontal="left" vertical="top" wrapText="1"/>
      <protection locked="0"/>
    </xf>
    <xf numFmtId="0" fontId="23" fillId="9" borderId="9" xfId="0" applyFont="1" applyFill="1" applyBorder="1" applyAlignment="1" applyProtection="1">
      <alignment horizontal="left" vertical="top" wrapText="1"/>
      <protection locked="0"/>
    </xf>
    <xf numFmtId="0" fontId="23" fillId="9" borderId="12" xfId="0" applyFont="1" applyFill="1" applyBorder="1" applyAlignment="1" applyProtection="1">
      <alignment horizontal="left" vertical="top" wrapText="1"/>
      <protection locked="0"/>
    </xf>
    <xf numFmtId="0" fontId="23" fillId="9" borderId="13" xfId="0" applyFont="1" applyFill="1" applyBorder="1" applyAlignment="1" applyProtection="1">
      <alignment horizontal="left" vertical="top" wrapText="1"/>
      <protection locked="0"/>
    </xf>
    <xf numFmtId="0" fontId="23" fillId="9" borderId="14" xfId="0" applyFont="1" applyFill="1" applyBorder="1" applyAlignment="1" applyProtection="1">
      <alignment horizontal="left" vertical="top" wrapText="1"/>
      <protection locked="0"/>
    </xf>
    <xf numFmtId="0" fontId="20" fillId="8" borderId="0" xfId="0" applyFont="1" applyFill="1" applyAlignment="1">
      <alignment horizontal="left"/>
    </xf>
    <xf numFmtId="0" fontId="20" fillId="8" borderId="11" xfId="0" applyFont="1" applyFill="1" applyBorder="1" applyAlignment="1">
      <alignment horizontal="left"/>
    </xf>
    <xf numFmtId="0" fontId="23" fillId="9" borderId="5" xfId="0" applyFont="1" applyFill="1" applyBorder="1" applyAlignment="1" applyProtection="1">
      <alignment horizontal="center"/>
      <protection locked="0"/>
    </xf>
    <xf numFmtId="0" fontId="23" fillId="9" borderId="9" xfId="0" applyFont="1" applyFill="1" applyBorder="1" applyAlignment="1" applyProtection="1">
      <alignment horizontal="center"/>
      <protection locked="0"/>
    </xf>
    <xf numFmtId="0" fontId="23" fillId="9" borderId="10" xfId="0" applyFont="1" applyFill="1" applyBorder="1" applyAlignment="1" applyProtection="1">
      <alignment horizontal="center"/>
      <protection locked="0"/>
    </xf>
    <xf numFmtId="0" fontId="23" fillId="9" borderId="0" xfId="0" applyFont="1" applyFill="1" applyAlignment="1" applyProtection="1">
      <alignment horizontal="center"/>
      <protection locked="0"/>
    </xf>
    <xf numFmtId="0" fontId="23" fillId="9" borderId="11" xfId="0" applyFont="1" applyFill="1" applyBorder="1" applyAlignment="1" applyProtection="1">
      <alignment horizontal="center"/>
      <protection locked="0"/>
    </xf>
    <xf numFmtId="0" fontId="0" fillId="0" borderId="0" xfId="0" applyAlignment="1">
      <alignment horizontal="left"/>
    </xf>
    <xf numFmtId="9" fontId="35" fillId="0" borderId="54" xfId="2" applyFont="1" applyBorder="1" applyAlignment="1">
      <alignment horizontal="center"/>
    </xf>
    <xf numFmtId="9" fontId="35" fillId="0" borderId="76" xfId="2" applyFont="1" applyBorder="1" applyAlignment="1">
      <alignment horizontal="center"/>
    </xf>
    <xf numFmtId="9" fontId="35" fillId="0" borderId="78" xfId="2" applyFont="1" applyBorder="1" applyAlignment="1">
      <alignment horizontal="center"/>
    </xf>
    <xf numFmtId="9" fontId="35" fillId="0" borderId="79" xfId="2" applyFont="1" applyBorder="1" applyAlignment="1">
      <alignment horizontal="center"/>
    </xf>
    <xf numFmtId="0" fontId="37" fillId="12" borderId="70" xfId="0" applyFont="1" applyFill="1" applyBorder="1" applyAlignment="1">
      <alignment horizontal="center" vertical="center" wrapText="1"/>
    </xf>
    <xf numFmtId="0" fontId="37" fillId="12" borderId="71" xfId="0" applyFont="1" applyFill="1" applyBorder="1" applyAlignment="1">
      <alignment horizontal="center" vertical="center" wrapText="1"/>
    </xf>
    <xf numFmtId="0" fontId="37" fillId="12" borderId="72" xfId="0" applyFont="1" applyFill="1" applyBorder="1" applyAlignment="1">
      <alignment horizontal="center" vertical="center" wrapText="1"/>
    </xf>
    <xf numFmtId="0" fontId="32" fillId="10" borderId="55" xfId="0" applyFont="1" applyFill="1" applyBorder="1" applyAlignment="1">
      <alignment horizontal="center" vertical="center" wrapText="1"/>
    </xf>
    <xf numFmtId="0" fontId="32" fillId="10" borderId="56"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32" fillId="10" borderId="58" xfId="0" applyFont="1" applyFill="1" applyBorder="1" applyAlignment="1">
      <alignment horizontal="center" vertical="center" wrapText="1"/>
    </xf>
    <xf numFmtId="0" fontId="32" fillId="10" borderId="0" xfId="0" applyFont="1" applyFill="1" applyAlignment="1">
      <alignment horizontal="center" vertical="center" wrapText="1"/>
    </xf>
    <xf numFmtId="0" fontId="32" fillId="10" borderId="59" xfId="0" applyFont="1" applyFill="1" applyBorder="1" applyAlignment="1">
      <alignment horizontal="center" vertical="center" wrapText="1"/>
    </xf>
    <xf numFmtId="0" fontId="35" fillId="12" borderId="42" xfId="0" applyFont="1" applyFill="1" applyBorder="1" applyAlignment="1">
      <alignment horizontal="left" vertical="center" wrapText="1"/>
    </xf>
    <xf numFmtId="0" fontId="35" fillId="12" borderId="38" xfId="0" applyFont="1" applyFill="1" applyBorder="1" applyAlignment="1">
      <alignment horizontal="left" vertical="center" wrapText="1"/>
    </xf>
    <xf numFmtId="0" fontId="35" fillId="12" borderId="61" xfId="0" applyFont="1" applyFill="1" applyBorder="1" applyAlignment="1">
      <alignment horizontal="left" vertical="center" wrapText="1"/>
    </xf>
    <xf numFmtId="0" fontId="35" fillId="12" borderId="41" xfId="0" applyFont="1" applyFill="1" applyBorder="1" applyAlignment="1">
      <alignment horizontal="left" vertical="center" wrapText="1"/>
    </xf>
    <xf numFmtId="0" fontId="35" fillId="12" borderId="37" xfId="0" applyFont="1" applyFill="1" applyBorder="1" applyAlignment="1">
      <alignment horizontal="left" vertical="center" wrapText="1"/>
    </xf>
    <xf numFmtId="0" fontId="35" fillId="12" borderId="63" xfId="0" applyFont="1" applyFill="1" applyBorder="1" applyAlignment="1">
      <alignment horizontal="left" vertical="center" wrapText="1"/>
    </xf>
    <xf numFmtId="0" fontId="35" fillId="12" borderId="44" xfId="0" applyFont="1" applyFill="1" applyBorder="1" applyAlignment="1">
      <alignment horizontal="left" vertical="center" wrapText="1"/>
    </xf>
    <xf numFmtId="0" fontId="35" fillId="12" borderId="45" xfId="0" applyFont="1" applyFill="1" applyBorder="1" applyAlignment="1">
      <alignment horizontal="left" vertical="center" wrapText="1"/>
    </xf>
    <xf numFmtId="0" fontId="35" fillId="12" borderId="64" xfId="0" applyFont="1" applyFill="1" applyBorder="1" applyAlignment="1">
      <alignment horizontal="left" vertical="center" wrapText="1"/>
    </xf>
    <xf numFmtId="0" fontId="35" fillId="12" borderId="43" xfId="0" applyFont="1" applyFill="1" applyBorder="1" applyAlignment="1">
      <alignment horizontal="left" vertical="center" wrapText="1"/>
    </xf>
    <xf numFmtId="0" fontId="35" fillId="12" borderId="49" xfId="0" applyFont="1" applyFill="1" applyBorder="1" applyAlignment="1">
      <alignment horizontal="left" vertical="center" wrapText="1"/>
    </xf>
    <xf numFmtId="0" fontId="35" fillId="12" borderId="66" xfId="0" applyFont="1" applyFill="1" applyBorder="1" applyAlignment="1">
      <alignment horizontal="left" vertical="center" wrapText="1"/>
    </xf>
    <xf numFmtId="0" fontId="35" fillId="12" borderId="50" xfId="0" applyFont="1" applyFill="1" applyBorder="1" applyAlignment="1">
      <alignment horizontal="left" vertical="center" wrapText="1"/>
    </xf>
    <xf numFmtId="0" fontId="35" fillId="12" borderId="47" xfId="0" applyFont="1" applyFill="1" applyBorder="1" applyAlignment="1">
      <alignment horizontal="left" vertical="center" wrapText="1"/>
    </xf>
    <xf numFmtId="0" fontId="35" fillId="12" borderId="67" xfId="0" applyFont="1" applyFill="1" applyBorder="1" applyAlignment="1">
      <alignment horizontal="left" vertical="center" wrapText="1"/>
    </xf>
    <xf numFmtId="8" fontId="36" fillId="12" borderId="43" xfId="0" applyNumberFormat="1" applyFont="1" applyFill="1" applyBorder="1" applyAlignment="1">
      <alignment horizontal="left" vertical="center" wrapText="1"/>
    </xf>
    <xf numFmtId="8" fontId="36" fillId="12" borderId="49" xfId="0" applyNumberFormat="1" applyFont="1" applyFill="1" applyBorder="1" applyAlignment="1">
      <alignment horizontal="left" vertical="center" wrapText="1"/>
    </xf>
    <xf numFmtId="8" fontId="36" fillId="12" borderId="66" xfId="0" applyNumberFormat="1" applyFont="1" applyFill="1" applyBorder="1" applyAlignment="1">
      <alignment horizontal="left" vertical="center" wrapText="1"/>
    </xf>
    <xf numFmtId="0" fontId="37" fillId="12" borderId="73" xfId="0" applyFont="1" applyFill="1" applyBorder="1" applyAlignment="1">
      <alignment horizontal="left" vertical="center" wrapText="1"/>
    </xf>
    <xf numFmtId="0" fontId="37" fillId="12" borderId="71" xfId="0" applyFont="1" applyFill="1" applyBorder="1" applyAlignment="1">
      <alignment horizontal="left" vertical="center" wrapText="1"/>
    </xf>
    <xf numFmtId="0" fontId="37" fillId="12" borderId="74" xfId="0" applyFont="1" applyFill="1" applyBorder="1" applyAlignment="1">
      <alignment horizontal="left" vertical="center" wrapText="1"/>
    </xf>
    <xf numFmtId="0" fontId="36" fillId="12" borderId="60" xfId="0" applyFont="1" applyFill="1" applyBorder="1" applyAlignment="1">
      <alignment horizontal="center" vertical="center" wrapText="1"/>
    </xf>
    <xf numFmtId="0" fontId="36" fillId="12" borderId="38" xfId="0" applyFont="1" applyFill="1" applyBorder="1" applyAlignment="1">
      <alignment horizontal="center" vertical="center" wrapText="1"/>
    </xf>
    <xf numFmtId="0" fontId="36" fillId="12" borderId="39" xfId="0" applyFont="1" applyFill="1" applyBorder="1" applyAlignment="1">
      <alignment horizontal="center" vertical="center" wrapText="1"/>
    </xf>
    <xf numFmtId="0" fontId="36" fillId="12" borderId="62"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40" xfId="0" applyFont="1" applyFill="1" applyBorder="1" applyAlignment="1">
      <alignment horizontal="center" vertical="center" wrapText="1"/>
    </xf>
    <xf numFmtId="0" fontId="36" fillId="12" borderId="65" xfId="0" applyFont="1" applyFill="1" applyBorder="1" applyAlignment="1">
      <alignment horizontal="center" vertical="center" wrapText="1"/>
    </xf>
    <xf numFmtId="0" fontId="36" fillId="12" borderId="47" xfId="0" applyFont="1" applyFill="1" applyBorder="1" applyAlignment="1">
      <alignment horizontal="center" vertical="center" wrapText="1"/>
    </xf>
    <xf numFmtId="0" fontId="36" fillId="12" borderId="48" xfId="0" applyFont="1" applyFill="1" applyBorder="1" applyAlignment="1">
      <alignment horizontal="center" vertical="center" wrapText="1"/>
    </xf>
    <xf numFmtId="0" fontId="36" fillId="12" borderId="68" xfId="0" applyFont="1" applyFill="1" applyBorder="1" applyAlignment="1">
      <alignment horizontal="center" vertical="center" wrapText="1"/>
    </xf>
    <xf numFmtId="0" fontId="36" fillId="12" borderId="49" xfId="0" applyFont="1" applyFill="1" applyBorder="1" applyAlignment="1">
      <alignment horizontal="center" vertical="center" wrapText="1"/>
    </xf>
    <xf numFmtId="0" fontId="36" fillId="12" borderId="51" xfId="0" applyFont="1" applyFill="1" applyBorder="1" applyAlignment="1">
      <alignment horizontal="center" vertical="center" wrapText="1"/>
    </xf>
    <xf numFmtId="0" fontId="36" fillId="12" borderId="69" xfId="0" applyFont="1" applyFill="1" applyBorder="1" applyAlignment="1">
      <alignment horizontal="center" vertical="center" wrapText="1"/>
    </xf>
    <xf numFmtId="0" fontId="36" fillId="12" borderId="46" xfId="0" applyFont="1" applyFill="1" applyBorder="1" applyAlignment="1">
      <alignment horizontal="center" vertical="center" wrapText="1"/>
    </xf>
    <xf numFmtId="0" fontId="36" fillId="12" borderId="52" xfId="0" applyFont="1" applyFill="1" applyBorder="1" applyAlignment="1">
      <alignment horizontal="center" vertical="center" wrapText="1"/>
    </xf>
    <xf numFmtId="0" fontId="32" fillId="10" borderId="55" xfId="0" applyFont="1" applyFill="1" applyBorder="1" applyAlignment="1">
      <alignment horizontal="left" vertical="center" wrapText="1"/>
    </xf>
    <xf numFmtId="0" fontId="31" fillId="10" borderId="56" xfId="0" applyFont="1" applyFill="1" applyBorder="1" applyAlignment="1">
      <alignment horizontal="left" vertical="center" wrapText="1"/>
    </xf>
    <xf numFmtId="0" fontId="31" fillId="10" borderId="57" xfId="0" applyFont="1" applyFill="1" applyBorder="1" applyAlignment="1">
      <alignment horizontal="left" vertical="center" wrapText="1"/>
    </xf>
    <xf numFmtId="0" fontId="31" fillId="10" borderId="58" xfId="0" applyFont="1" applyFill="1" applyBorder="1" applyAlignment="1">
      <alignment horizontal="left" vertical="center" wrapText="1"/>
    </xf>
    <xf numFmtId="0" fontId="31" fillId="10" borderId="0" xfId="0" applyFont="1" applyFill="1" applyAlignment="1">
      <alignment horizontal="left" vertical="center" wrapText="1"/>
    </xf>
    <xf numFmtId="0" fontId="31" fillId="10" borderId="59" xfId="0" applyFont="1" applyFill="1" applyBorder="1" applyAlignment="1">
      <alignment horizontal="left" vertical="center" wrapText="1"/>
    </xf>
    <xf numFmtId="0" fontId="33" fillId="11" borderId="89" xfId="0" applyFont="1" applyFill="1" applyBorder="1" applyAlignment="1">
      <alignment horizontal="left" vertical="top" wrapText="1"/>
    </xf>
    <xf numFmtId="0" fontId="33" fillId="11" borderId="34" xfId="0" applyFont="1" applyFill="1" applyBorder="1" applyAlignment="1">
      <alignment horizontal="left" vertical="top" wrapText="1"/>
    </xf>
    <xf numFmtId="0" fontId="33" fillId="11" borderId="32" xfId="0" applyFont="1" applyFill="1" applyBorder="1" applyAlignment="1">
      <alignment horizontal="left" vertical="top" wrapText="1"/>
    </xf>
    <xf numFmtId="0" fontId="33" fillId="11" borderId="31" xfId="0" applyFont="1" applyFill="1" applyBorder="1" applyAlignment="1">
      <alignment horizontal="left" vertical="top" wrapText="1"/>
    </xf>
    <xf numFmtId="10" fontId="37" fillId="11" borderId="31" xfId="2" applyNumberFormat="1" applyFont="1" applyFill="1" applyBorder="1" applyAlignment="1">
      <alignment horizontal="left" vertical="top" shrinkToFit="1"/>
    </xf>
    <xf numFmtId="10" fontId="37" fillId="11" borderId="34" xfId="2" applyNumberFormat="1" applyFont="1" applyFill="1" applyBorder="1" applyAlignment="1">
      <alignment horizontal="left" vertical="top" shrinkToFit="1"/>
    </xf>
    <xf numFmtId="10" fontId="37" fillId="11" borderId="88" xfId="2" applyNumberFormat="1" applyFont="1" applyFill="1" applyBorder="1" applyAlignment="1">
      <alignment horizontal="left" vertical="top" shrinkToFit="1"/>
    </xf>
    <xf numFmtId="0" fontId="33" fillId="11" borderId="93" xfId="0" applyFont="1" applyFill="1" applyBorder="1" applyAlignment="1">
      <alignment horizontal="left" vertical="top" wrapText="1"/>
    </xf>
    <xf numFmtId="0" fontId="33" fillId="11" borderId="94" xfId="0" applyFont="1" applyFill="1" applyBorder="1" applyAlignment="1">
      <alignment horizontal="left" vertical="top" wrapText="1"/>
    </xf>
    <xf numFmtId="0" fontId="33" fillId="11" borderId="95" xfId="0" applyFont="1" applyFill="1" applyBorder="1" applyAlignment="1">
      <alignment horizontal="left" vertical="top" wrapText="1"/>
    </xf>
    <xf numFmtId="0" fontId="33" fillId="11" borderId="96" xfId="0" applyFont="1" applyFill="1" applyBorder="1" applyAlignment="1">
      <alignment horizontal="left" vertical="top" wrapText="1"/>
    </xf>
    <xf numFmtId="10" fontId="37" fillId="11" borderId="96" xfId="2" applyNumberFormat="1" applyFont="1" applyFill="1" applyBorder="1" applyAlignment="1">
      <alignment horizontal="left" vertical="top" shrinkToFit="1"/>
    </xf>
    <xf numFmtId="10" fontId="37" fillId="11" borderId="94" xfId="2" applyNumberFormat="1" applyFont="1" applyFill="1" applyBorder="1" applyAlignment="1">
      <alignment horizontal="left" vertical="top" shrinkToFit="1"/>
    </xf>
    <xf numFmtId="10" fontId="37" fillId="11" borderId="98" xfId="2" applyNumberFormat="1" applyFont="1" applyFill="1" applyBorder="1" applyAlignment="1">
      <alignment horizontal="left" vertical="top" shrinkToFit="1"/>
    </xf>
    <xf numFmtId="0" fontId="31" fillId="10" borderId="55" xfId="0" applyFont="1" applyFill="1" applyBorder="1" applyAlignment="1">
      <alignment horizontal="left" vertical="center" wrapText="1"/>
    </xf>
    <xf numFmtId="0" fontId="31" fillId="10" borderId="80" xfId="0" applyFont="1" applyFill="1" applyBorder="1" applyAlignment="1">
      <alignment horizontal="left" vertical="center" wrapText="1"/>
    </xf>
    <xf numFmtId="0" fontId="31" fillId="10" borderId="21" xfId="0" applyFont="1" applyFill="1" applyBorder="1" applyAlignment="1">
      <alignment horizontal="left" vertical="center" wrapText="1"/>
    </xf>
    <xf numFmtId="0" fontId="31" fillId="10" borderId="81" xfId="0" applyFont="1" applyFill="1" applyBorder="1" applyAlignment="1">
      <alignment horizontal="left" vertical="center" wrapText="1"/>
    </xf>
    <xf numFmtId="0" fontId="31" fillId="10" borderId="22" xfId="0" applyFont="1" applyFill="1" applyBorder="1" applyAlignment="1">
      <alignment horizontal="left" vertical="center" wrapText="1"/>
    </xf>
    <xf numFmtId="0" fontId="33" fillId="10" borderId="82" xfId="0" applyFont="1" applyFill="1" applyBorder="1" applyAlignment="1">
      <alignment horizontal="left" vertical="top" wrapText="1"/>
    </xf>
    <xf numFmtId="0" fontId="33" fillId="10" borderId="83" xfId="0" applyFont="1" applyFill="1" applyBorder="1" applyAlignment="1">
      <alignment horizontal="left" vertical="top" wrapText="1"/>
    </xf>
    <xf numFmtId="0" fontId="33" fillId="10" borderId="84" xfId="0" applyFont="1" applyFill="1" applyBorder="1" applyAlignment="1">
      <alignment horizontal="left" vertical="top" wrapText="1"/>
    </xf>
    <xf numFmtId="0" fontId="33" fillId="10" borderId="24" xfId="0" applyFont="1" applyFill="1" applyBorder="1" applyAlignment="1">
      <alignment horizontal="left" vertical="top" wrapText="1"/>
    </xf>
    <xf numFmtId="0" fontId="33" fillId="10" borderId="25" xfId="0" applyFont="1" applyFill="1" applyBorder="1" applyAlignment="1">
      <alignment horizontal="left" vertical="top" wrapText="1"/>
    </xf>
    <xf numFmtId="0" fontId="33" fillId="10" borderId="85" xfId="0" applyFont="1" applyFill="1" applyBorder="1" applyAlignment="1">
      <alignment horizontal="left" vertical="top" wrapText="1"/>
    </xf>
    <xf numFmtId="0" fontId="33" fillId="11" borderId="58" xfId="0" applyFont="1" applyFill="1" applyBorder="1" applyAlignment="1">
      <alignment horizontal="left" vertical="center" wrapText="1"/>
    </xf>
    <xf numFmtId="0" fontId="33" fillId="11" borderId="0" xfId="0" applyFont="1" applyFill="1" applyAlignment="1">
      <alignment horizontal="left" vertical="center" wrapText="1"/>
    </xf>
    <xf numFmtId="0" fontId="33" fillId="11" borderId="26" xfId="0" applyFont="1" applyFill="1" applyBorder="1" applyAlignment="1">
      <alignment horizontal="left" vertical="center" wrapText="1"/>
    </xf>
    <xf numFmtId="0" fontId="33" fillId="11" borderId="87" xfId="0" applyFont="1" applyFill="1" applyBorder="1" applyAlignment="1">
      <alignment horizontal="left" vertical="center" wrapText="1"/>
    </xf>
    <xf numFmtId="0" fontId="33" fillId="11" borderId="30" xfId="0" applyFont="1" applyFill="1" applyBorder="1" applyAlignment="1">
      <alignment horizontal="left" vertical="center" wrapText="1"/>
    </xf>
    <xf numFmtId="0" fontId="33" fillId="11" borderId="28" xfId="0" applyFont="1" applyFill="1" applyBorder="1" applyAlignment="1">
      <alignment horizontal="left" vertical="center" wrapText="1"/>
    </xf>
    <xf numFmtId="0" fontId="33" fillId="11" borderId="27" xfId="0" applyFont="1" applyFill="1" applyBorder="1" applyAlignment="1">
      <alignment horizontal="left" vertical="top" wrapText="1"/>
    </xf>
    <xf numFmtId="0" fontId="33" fillId="11" borderId="28" xfId="0" applyFont="1" applyFill="1" applyBorder="1" applyAlignment="1">
      <alignment horizontal="left" vertical="top" wrapText="1"/>
    </xf>
    <xf numFmtId="10" fontId="37" fillId="11" borderId="27" xfId="2" applyNumberFormat="1" applyFont="1" applyFill="1" applyBorder="1" applyAlignment="1">
      <alignment horizontal="left" vertical="top" shrinkToFit="1"/>
    </xf>
    <xf numFmtId="10" fontId="37" fillId="11" borderId="30" xfId="2" applyNumberFormat="1" applyFont="1" applyFill="1" applyBorder="1" applyAlignment="1">
      <alignment horizontal="left" vertical="top" shrinkToFit="1"/>
    </xf>
    <xf numFmtId="10" fontId="37" fillId="11" borderId="86" xfId="2" applyNumberFormat="1" applyFont="1" applyFill="1" applyBorder="1" applyAlignment="1">
      <alignment horizontal="left" vertical="top" shrinkToFit="1"/>
    </xf>
    <xf numFmtId="0" fontId="0" fillId="4" borderId="8" xfId="0" applyFill="1" applyBorder="1" applyAlignment="1">
      <alignment vertical="top" wrapText="1"/>
    </xf>
    <xf numFmtId="0" fontId="0" fillId="4" borderId="5" xfId="0" applyFill="1" applyBorder="1" applyAlignment="1">
      <alignment vertical="top" wrapText="1"/>
    </xf>
    <xf numFmtId="0" fontId="0" fillId="4" borderId="9" xfId="0" applyFill="1" applyBorder="1" applyAlignment="1">
      <alignment vertical="top" wrapText="1"/>
    </xf>
    <xf numFmtId="0" fontId="0" fillId="4" borderId="10" xfId="0" applyFill="1" applyBorder="1" applyAlignment="1">
      <alignment vertical="top" wrapText="1"/>
    </xf>
    <xf numFmtId="0" fontId="0" fillId="4" borderId="0" xfId="0" applyFill="1" applyAlignment="1">
      <alignment vertical="top" wrapText="1"/>
    </xf>
    <xf numFmtId="0" fontId="0" fillId="4" borderId="11" xfId="0" applyFill="1" applyBorder="1" applyAlignment="1">
      <alignment vertical="top" wrapText="1"/>
    </xf>
    <xf numFmtId="0" fontId="0" fillId="4" borderId="12" xfId="0" applyFill="1" applyBorder="1" applyAlignment="1">
      <alignment vertical="top" wrapText="1"/>
    </xf>
    <xf numFmtId="0" fontId="0" fillId="4" borderId="13" xfId="0" applyFill="1" applyBorder="1" applyAlignment="1">
      <alignment vertical="top" wrapText="1"/>
    </xf>
    <xf numFmtId="0" fontId="0" fillId="4" borderId="14" xfId="0" applyFill="1" applyBorder="1" applyAlignment="1">
      <alignment vertical="top" wrapText="1"/>
    </xf>
  </cellXfs>
  <cellStyles count="3">
    <cellStyle name="Currency" xfId="1" builtinId="4"/>
    <cellStyle name="Normal" xfId="0" builtinId="0"/>
    <cellStyle name="Percent" xfId="2" builtinId="5"/>
  </cellStyles>
  <dxfs count="29">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19049</xdr:colOff>
      <xdr:row>157</xdr:row>
      <xdr:rowOff>114299</xdr:rowOff>
    </xdr:from>
    <xdr:to>
      <xdr:col>12</xdr:col>
      <xdr:colOff>466724</xdr:colOff>
      <xdr:row>157</xdr:row>
      <xdr:rowOff>123824</xdr:rowOff>
    </xdr:to>
    <xdr:sp macro="" textlink="">
      <xdr:nvSpPr>
        <xdr:cNvPr id="2" name="Line 49">
          <a:extLst>
            <a:ext uri="{FF2B5EF4-FFF2-40B4-BE49-F238E27FC236}">
              <a16:creationId xmlns:a16="http://schemas.microsoft.com/office/drawing/2014/main" id="{6C6706D0-7816-4E0A-8595-01CC81F02344}"/>
            </a:ext>
          </a:extLst>
        </xdr:cNvPr>
        <xdr:cNvSpPr>
          <a:spLocks noChangeShapeType="1"/>
        </xdr:cNvSpPr>
      </xdr:nvSpPr>
      <xdr:spPr bwMode="auto">
        <a:xfrm flipV="1">
          <a:off x="19049" y="17525999"/>
          <a:ext cx="10982325" cy="9525"/>
        </a:xfrm>
        <a:prstGeom prst="line">
          <a:avLst/>
        </a:prstGeom>
        <a:noFill/>
        <a:ln w="27305">
          <a:solidFill>
            <a:srgbClr val="002A58"/>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0A6E6-F1BC-4E0D-B885-CBD81519CF2C}">
  <dimension ref="A1:CA330"/>
  <sheetViews>
    <sheetView tabSelected="1" workbookViewId="0">
      <selection activeCell="E19" sqref="E19"/>
    </sheetView>
  </sheetViews>
  <sheetFormatPr defaultColWidth="9.140625" defaultRowHeight="18.75" x14ac:dyDescent="0.3"/>
  <cols>
    <col min="1" max="1" width="5.28515625" style="208" customWidth="1"/>
    <col min="2" max="2" width="31.42578125" style="212" customWidth="1"/>
    <col min="3" max="3" width="7.140625" style="212" customWidth="1"/>
    <col min="4" max="4" width="15.28515625" style="212" customWidth="1"/>
    <col min="5" max="5" width="17.85546875" style="212" customWidth="1"/>
    <col min="6" max="6" width="17" style="212" customWidth="1"/>
    <col min="7" max="7" width="16.28515625" style="212" customWidth="1"/>
    <col min="8" max="8" width="17.7109375" style="212" customWidth="1"/>
    <col min="9" max="9" width="14.28515625" style="212" customWidth="1"/>
    <col min="10" max="10" width="16" style="212" bestFit="1" customWidth="1"/>
    <col min="11" max="11" width="23.140625" style="212" bestFit="1" customWidth="1"/>
    <col min="12" max="12" width="9.7109375" style="212" bestFit="1" customWidth="1"/>
    <col min="13" max="13" width="6.140625" style="212" customWidth="1"/>
    <col min="14" max="14" width="9.140625" style="149"/>
    <col min="15" max="18" width="24" style="149" hidden="1" customWidth="1"/>
    <col min="19" max="20" width="0" style="149" hidden="1" customWidth="1"/>
    <col min="21" max="21" width="49.42578125" style="149" hidden="1" customWidth="1"/>
    <col min="22" max="22" width="23.140625" style="149" hidden="1" customWidth="1"/>
    <col min="23" max="23" width="9.7109375" style="149" hidden="1" customWidth="1"/>
    <col min="24" max="24" width="47.5703125" style="149" hidden="1" customWidth="1"/>
    <col min="25" max="25" width="0" style="150" hidden="1" customWidth="1"/>
    <col min="26" max="29" width="0" style="149" hidden="1" customWidth="1"/>
    <col min="30" max="32" width="0" style="31" hidden="1" customWidth="1"/>
    <col min="33" max="79" width="9.140625" style="149"/>
    <col min="80" max="16384" width="9.140625" style="31"/>
  </cols>
  <sheetData>
    <row r="1" spans="2:30" ht="28.5" x14ac:dyDescent="0.45">
      <c r="B1" s="369" t="s">
        <v>331</v>
      </c>
      <c r="C1" s="370"/>
      <c r="D1" s="370"/>
      <c r="E1" s="370"/>
      <c r="F1" s="370"/>
      <c r="G1" s="370"/>
      <c r="H1" s="370"/>
      <c r="I1" s="370"/>
      <c r="J1" s="370"/>
      <c r="K1" s="370"/>
      <c r="L1" s="370"/>
      <c r="M1" s="371"/>
    </row>
    <row r="2" spans="2:30" ht="19.5" thickBot="1" x14ac:dyDescent="0.35">
      <c r="B2" s="215"/>
      <c r="C2" s="216"/>
      <c r="D2" s="216"/>
      <c r="E2" s="216"/>
      <c r="F2" s="216"/>
      <c r="G2" s="216"/>
      <c r="H2" s="216"/>
      <c r="I2" s="216"/>
      <c r="J2" s="217"/>
      <c r="K2" s="216"/>
      <c r="L2" s="216"/>
      <c r="M2" s="218"/>
      <c r="V2" s="151"/>
      <c r="W2" s="151"/>
      <c r="X2" s="151"/>
      <c r="Y2" s="152"/>
      <c r="Z2" s="151"/>
      <c r="AA2" s="153"/>
      <c r="AB2" s="153"/>
      <c r="AC2" s="153"/>
      <c r="AD2" s="148"/>
    </row>
    <row r="3" spans="2:30" ht="19.5" thickBot="1" x14ac:dyDescent="0.35">
      <c r="B3" s="215"/>
      <c r="C3" s="219"/>
      <c r="D3" s="219" t="s">
        <v>2</v>
      </c>
      <c r="E3" s="216"/>
      <c r="F3" s="372" t="s">
        <v>4</v>
      </c>
      <c r="G3" s="373"/>
      <c r="H3" s="374"/>
      <c r="I3" s="220" t="str">
        <f>IF(F3='drop downs'!A2,"Private Sale - Quote only and Premiums subject to documentation","")</f>
        <v/>
      </c>
      <c r="J3" s="221"/>
      <c r="K3" s="222" t="s">
        <v>319</v>
      </c>
      <c r="L3" s="221"/>
      <c r="M3" s="218"/>
      <c r="U3" s="185" t="s">
        <v>379</v>
      </c>
    </row>
    <row r="4" spans="2:30" ht="19.5" thickBot="1" x14ac:dyDescent="0.35">
      <c r="B4" s="215"/>
      <c r="C4" s="219"/>
      <c r="D4" s="219" t="s">
        <v>325</v>
      </c>
      <c r="E4" s="216"/>
      <c r="F4" s="375">
        <f ca="1">TODAY()</f>
        <v>46308</v>
      </c>
      <c r="G4" s="376"/>
      <c r="H4" s="377"/>
      <c r="I4" s="221" t="str">
        <f>IF(N4&gt;14,"Premiums are subect to referral due to time since sale","")</f>
        <v/>
      </c>
      <c r="J4" s="216"/>
      <c r="K4" s="222" t="s">
        <v>321</v>
      </c>
      <c r="L4" s="216"/>
      <c r="M4" s="218"/>
      <c r="U4" s="166"/>
      <c r="V4" s="167"/>
      <c r="W4" s="168"/>
      <c r="X4" s="168"/>
      <c r="Y4" s="169"/>
      <c r="Z4" s="170"/>
      <c r="AA4" s="170"/>
      <c r="AB4" s="171"/>
    </row>
    <row r="5" spans="2:30" ht="19.5" thickBot="1" x14ac:dyDescent="0.35">
      <c r="B5" s="215"/>
      <c r="C5" s="219"/>
      <c r="D5" s="219" t="s">
        <v>48</v>
      </c>
      <c r="E5" s="216"/>
      <c r="F5" s="372" t="s">
        <v>5</v>
      </c>
      <c r="G5" s="373"/>
      <c r="H5" s="374"/>
      <c r="I5" s="216"/>
      <c r="J5" s="216"/>
      <c r="K5" s="55"/>
      <c r="L5" s="216"/>
      <c r="M5" s="218"/>
      <c r="U5" s="172"/>
      <c r="V5" s="149" t="s">
        <v>377</v>
      </c>
      <c r="AB5" s="173"/>
    </row>
    <row r="6" spans="2:30" ht="19.5" thickBot="1" x14ac:dyDescent="0.35">
      <c r="B6" s="215"/>
      <c r="C6" s="219"/>
      <c r="D6" s="219" t="s">
        <v>0</v>
      </c>
      <c r="E6" s="216"/>
      <c r="F6" s="378" t="s">
        <v>360</v>
      </c>
      <c r="G6" s="379"/>
      <c r="H6" s="380"/>
      <c r="I6" s="221" t="str">
        <f>IF(F6="Other","Refer","")</f>
        <v/>
      </c>
      <c r="J6" s="216"/>
      <c r="K6" s="222" t="s">
        <v>320</v>
      </c>
      <c r="L6" s="216"/>
      <c r="M6" s="218"/>
      <c r="U6" s="174" t="str">
        <f>CONCATENATE(F6)</f>
        <v>BULLS</v>
      </c>
      <c r="V6" s="165">
        <f>LOOKUP(F6,'drop downs'!E1:E6,'drop downs'!F1:F6)</f>
        <v>0</v>
      </c>
      <c r="X6" s="149" t="str">
        <f>CONCATENATE(V5,F6)</f>
        <v>Mortality only for - BULLS</v>
      </c>
      <c r="AB6" s="173"/>
    </row>
    <row r="7" spans="2:30" ht="19.5" thickBot="1" x14ac:dyDescent="0.35">
      <c r="B7" s="215"/>
      <c r="C7" s="219"/>
      <c r="D7" s="219" t="s">
        <v>1</v>
      </c>
      <c r="E7" s="216"/>
      <c r="F7" s="378" t="s">
        <v>378</v>
      </c>
      <c r="G7" s="379"/>
      <c r="H7" s="380"/>
      <c r="I7" s="381" t="str">
        <f>IF(V6=1,X6,"")</f>
        <v/>
      </c>
      <c r="J7" s="382"/>
      <c r="K7" s="216"/>
      <c r="L7" s="216"/>
      <c r="M7" s="218"/>
      <c r="U7" s="174" t="str">
        <f>CONCATENATE(F7)</f>
        <v>Loss of Use Accident &amp; Illness</v>
      </c>
      <c r="AB7" s="173"/>
    </row>
    <row r="8" spans="2:30" ht="19.5" thickBot="1" x14ac:dyDescent="0.35">
      <c r="B8" s="215"/>
      <c r="C8" s="219"/>
      <c r="D8" s="219" t="s">
        <v>56</v>
      </c>
      <c r="E8" s="216"/>
      <c r="F8" s="388" t="s">
        <v>65</v>
      </c>
      <c r="G8" s="389"/>
      <c r="H8" s="390"/>
      <c r="I8" s="216"/>
      <c r="J8" s="216"/>
      <c r="K8" s="216"/>
      <c r="L8" s="216"/>
      <c r="M8" s="218"/>
      <c r="U8" s="174" t="str">
        <f>CONCATENATE(F8)</f>
        <v>Twelve Months</v>
      </c>
      <c r="V8" s="149" t="str">
        <f>LOOKUP(U8,'drop downs'!N1:N2,'drop downs'!O1:O2)</f>
        <v>12M</v>
      </c>
      <c r="AB8" s="173"/>
    </row>
    <row r="9" spans="2:30" ht="19.5" thickBot="1" x14ac:dyDescent="0.35">
      <c r="B9" s="215"/>
      <c r="C9" s="219"/>
      <c r="D9" s="219" t="s">
        <v>372</v>
      </c>
      <c r="E9" s="216"/>
      <c r="F9" s="383">
        <v>0</v>
      </c>
      <c r="G9" s="384"/>
      <c r="H9" s="385"/>
      <c r="I9" s="221"/>
      <c r="J9" s="216"/>
      <c r="K9" s="216"/>
      <c r="L9" s="216"/>
      <c r="M9" s="218"/>
      <c r="U9" s="174" t="str">
        <f>CONCATENATE(F9)</f>
        <v>0</v>
      </c>
      <c r="AB9" s="173"/>
    </row>
    <row r="10" spans="2:30" ht="19.5" thickBot="1" x14ac:dyDescent="0.35">
      <c r="B10" s="215"/>
      <c r="C10" s="223"/>
      <c r="D10" s="223"/>
      <c r="E10" s="216"/>
      <c r="F10" s="216"/>
      <c r="G10" s="216"/>
      <c r="H10" s="216"/>
      <c r="I10" s="216"/>
      <c r="J10" s="216"/>
      <c r="K10" s="216"/>
      <c r="L10" s="216"/>
      <c r="M10" s="218"/>
      <c r="U10" s="175" t="s">
        <v>373</v>
      </c>
      <c r="V10" s="176" t="s">
        <v>60</v>
      </c>
      <c r="AB10" s="173"/>
    </row>
    <row r="11" spans="2:30" ht="19.5" thickBot="1" x14ac:dyDescent="0.35">
      <c r="B11" s="215"/>
      <c r="C11" s="219"/>
      <c r="D11" s="219" t="s">
        <v>43</v>
      </c>
      <c r="E11" s="216"/>
      <c r="F11" s="378" t="s">
        <v>11</v>
      </c>
      <c r="G11" s="379"/>
      <c r="H11" s="380"/>
      <c r="I11" s="216"/>
      <c r="J11" s="216"/>
      <c r="K11" s="216"/>
      <c r="L11" s="216"/>
      <c r="M11" s="218"/>
      <c r="U11" s="155" t="str">
        <f>CONCATENATE($U$6,"-",$V$8,"-","Less 50","-",$U$7,"-",$F$9)</f>
        <v>BULLS-12M-Less 50-Loss of Use Accident &amp; Illness-0</v>
      </c>
      <c r="V11" s="157">
        <f>LOOKUP(U11,'All State Rates '!G:G,'All State Rates '!F:F)</f>
        <v>0.11849999999999999</v>
      </c>
      <c r="X11" s="149" t="str">
        <f>LOOKUP(U11,'All State Rates '!G:G,'All State Rates '!G:G)</f>
        <v>BULLS-12M-Less 50-Loss of Use Accident &amp; Illness-0</v>
      </c>
      <c r="AA11" s="161">
        <f>IF(U11=X11,V11,0)</f>
        <v>0.11849999999999999</v>
      </c>
      <c r="AB11" s="173"/>
    </row>
    <row r="12" spans="2:30" ht="19.5" thickBot="1" x14ac:dyDescent="0.35">
      <c r="B12" s="224"/>
      <c r="C12" s="223"/>
      <c r="D12" s="216"/>
      <c r="E12" s="216"/>
      <c r="F12" s="216"/>
      <c r="G12" s="216"/>
      <c r="H12" s="216"/>
      <c r="I12" s="216"/>
      <c r="J12" s="216"/>
      <c r="K12" s="216"/>
      <c r="L12" s="216"/>
      <c r="M12" s="218"/>
      <c r="U12" s="155" t="str">
        <f>CONCATENATE($U$6,"-",$V$8,"-","More 50","-",$U$7,"-",$F$9)</f>
        <v>BULLS-12M-More 50-Loss of Use Accident &amp; Illness-0</v>
      </c>
      <c r="V12" s="157">
        <f>LOOKUP(U12,'All State Rates '!G:G,'All State Rates '!F:F)</f>
        <v>0.13159999999999999</v>
      </c>
      <c r="X12" s="149" t="str">
        <f>LOOKUP(U12,'All State Rates '!G:G,'All State Rates '!G:G)</f>
        <v>BULLS-12M-More 50-Loss of Use Accident &amp; Illness-0</v>
      </c>
      <c r="AA12" s="161">
        <f>IF(U12=X12,V12,0)</f>
        <v>0.13159999999999999</v>
      </c>
      <c r="AB12" s="173"/>
    </row>
    <row r="13" spans="2:30" ht="19.5" thickBot="1" x14ac:dyDescent="0.35">
      <c r="B13" s="224"/>
      <c r="C13" s="223" t="s">
        <v>421</v>
      </c>
      <c r="D13" s="223"/>
      <c r="E13" s="216"/>
      <c r="F13" s="216"/>
      <c r="G13" s="216"/>
      <c r="H13" s="216"/>
      <c r="I13" s="216"/>
      <c r="J13" s="209" t="s">
        <v>21</v>
      </c>
      <c r="K13" s="221" t="str">
        <f>IF(J13="YES","Unable to Quote - Refer","")</f>
        <v/>
      </c>
      <c r="L13" s="216"/>
      <c r="M13" s="218"/>
      <c r="U13" s="174"/>
      <c r="AB13" s="173"/>
    </row>
    <row r="14" spans="2:30" ht="19.5" thickBot="1" x14ac:dyDescent="0.35">
      <c r="B14" s="224"/>
      <c r="C14" s="368" t="str">
        <f>CONCATENATE('drop downs'!A26)</f>
        <v xml:space="preserve">Are any of the animals over 5 years of age? </v>
      </c>
      <c r="D14" s="368"/>
      <c r="E14" s="368"/>
      <c r="F14" s="368"/>
      <c r="G14" s="368"/>
      <c r="H14" s="368"/>
      <c r="I14" s="391"/>
      <c r="J14" s="209" t="s">
        <v>21</v>
      </c>
      <c r="K14" s="221" t="str">
        <f>IF(J14="YES","Unable to Quote - Refer","")</f>
        <v/>
      </c>
      <c r="L14" s="216"/>
      <c r="M14" s="218"/>
      <c r="U14" s="177" t="s">
        <v>60</v>
      </c>
      <c r="V14" s="176" t="s">
        <v>37</v>
      </c>
      <c r="W14" s="176" t="s">
        <v>374</v>
      </c>
      <c r="X14" s="178" t="s">
        <v>312</v>
      </c>
      <c r="AB14" s="173"/>
    </row>
    <row r="15" spans="2:30" ht="19.5" thickBot="1" x14ac:dyDescent="0.35">
      <c r="B15" s="224"/>
      <c r="C15" s="223" t="s">
        <v>357</v>
      </c>
      <c r="D15" s="223"/>
      <c r="E15" s="216"/>
      <c r="F15" s="216"/>
      <c r="G15" s="216"/>
      <c r="H15" s="216"/>
      <c r="I15" s="216"/>
      <c r="J15" s="209" t="s">
        <v>21</v>
      </c>
      <c r="K15" s="221" t="str">
        <f>IF(J15="YES","Quote subject to Referral","")</f>
        <v/>
      </c>
      <c r="L15" s="216"/>
      <c r="M15" s="218"/>
      <c r="U15" s="157">
        <f>IF(E19&gt;50000,$AA$12,$AA$11)</f>
        <v>0.11849999999999999</v>
      </c>
      <c r="V15" s="158">
        <f>SUM(E19*$F$9)</f>
        <v>0</v>
      </c>
      <c r="W15" s="156">
        <f>LOOKUP($F$11,'drop downs'!$G$1:$G$8,'drop downs'!$H$1:$H$8)</f>
        <v>0</v>
      </c>
      <c r="X15" s="159">
        <f>SUM(G19*10%)</f>
        <v>0</v>
      </c>
      <c r="AB15" s="173"/>
    </row>
    <row r="16" spans="2:30" ht="19.5" thickBot="1" x14ac:dyDescent="0.35">
      <c r="B16" s="224"/>
      <c r="C16" s="223"/>
      <c r="D16" s="216"/>
      <c r="E16" s="216"/>
      <c r="F16" s="216"/>
      <c r="G16" s="216"/>
      <c r="H16" s="216"/>
      <c r="I16" s="216"/>
      <c r="J16" s="216"/>
      <c r="K16" s="216"/>
      <c r="L16" s="216"/>
      <c r="M16" s="218"/>
      <c r="U16" s="157">
        <f>IF(E20&gt;50000,$AA$12,$AA$11)</f>
        <v>0.11849999999999999</v>
      </c>
      <c r="V16" s="158">
        <f>SUM(E20*$F$9)</f>
        <v>0</v>
      </c>
      <c r="W16" s="156">
        <f>LOOKUP($F$11,'drop downs'!$G$1:$G$8,'drop downs'!$H$1:$H$8)</f>
        <v>0</v>
      </c>
      <c r="X16" s="159">
        <f t="shared" ref="X16:X19" si="0">SUM(G20*10%)</f>
        <v>0</v>
      </c>
      <c r="AB16" s="173"/>
    </row>
    <row r="17" spans="2:28" ht="19.5" thickBot="1" x14ac:dyDescent="0.35">
      <c r="B17" s="215"/>
      <c r="C17" s="216"/>
      <c r="D17" s="216"/>
      <c r="E17" s="216"/>
      <c r="F17" s="216"/>
      <c r="G17" s="216"/>
      <c r="H17" s="216"/>
      <c r="I17" s="216"/>
      <c r="J17" s="216"/>
      <c r="K17" s="223"/>
      <c r="L17" s="216"/>
      <c r="M17" s="218"/>
      <c r="U17" s="157">
        <f>IF(E21&gt;50000,$AA$12,$AA$11)</f>
        <v>0.11849999999999999</v>
      </c>
      <c r="V17" s="158">
        <f>SUM(E21*$F$9)</f>
        <v>0</v>
      </c>
      <c r="W17" s="156">
        <f>LOOKUP($F$11,'drop downs'!$G$1:$G$8,'drop downs'!$H$1:$H$8)</f>
        <v>0</v>
      </c>
      <c r="X17" s="159">
        <f t="shared" si="0"/>
        <v>0</v>
      </c>
      <c r="AB17" s="173"/>
    </row>
    <row r="18" spans="2:28" ht="19.5" thickBot="1" x14ac:dyDescent="0.35">
      <c r="B18" s="225"/>
      <c r="C18" s="226"/>
      <c r="D18" s="227" t="s">
        <v>250</v>
      </c>
      <c r="E18" s="226" t="s">
        <v>17</v>
      </c>
      <c r="F18" s="226" t="s">
        <v>37</v>
      </c>
      <c r="G18" s="228" t="s">
        <v>18</v>
      </c>
      <c r="H18" s="229" t="s">
        <v>33</v>
      </c>
      <c r="I18" s="227" t="s">
        <v>374</v>
      </c>
      <c r="J18" s="228" t="s">
        <v>387</v>
      </c>
      <c r="K18" s="228" t="s">
        <v>375</v>
      </c>
      <c r="L18" s="216"/>
      <c r="M18" s="218"/>
      <c r="N18" s="154"/>
      <c r="O18" s="204" t="s">
        <v>60</v>
      </c>
      <c r="P18" s="205" t="s">
        <v>37</v>
      </c>
      <c r="Q18" s="205" t="s">
        <v>374</v>
      </c>
      <c r="R18" s="206" t="s">
        <v>312</v>
      </c>
      <c r="S18" s="154"/>
      <c r="T18" s="154"/>
      <c r="U18" s="157">
        <f>IF(E22&gt;50000,$AA$12,$AA$11)</f>
        <v>0.11849999999999999</v>
      </c>
      <c r="V18" s="158">
        <f>SUM(E22*$F$9)</f>
        <v>0</v>
      </c>
      <c r="W18" s="156">
        <f>LOOKUP($F$11,'drop downs'!$G$1:$G$8,'drop downs'!$H$1:$H$8)</f>
        <v>0</v>
      </c>
      <c r="X18" s="159">
        <f t="shared" si="0"/>
        <v>0</v>
      </c>
      <c r="AB18" s="173"/>
    </row>
    <row r="19" spans="2:28" ht="19.5" thickBot="1" x14ac:dyDescent="0.35">
      <c r="B19" s="230" t="s">
        <v>248</v>
      </c>
      <c r="C19" s="231"/>
      <c r="D19" s="210"/>
      <c r="E19" s="211"/>
      <c r="F19" s="232" t="str">
        <f>IF(E19=0,"",P19)</f>
        <v/>
      </c>
      <c r="G19" s="233">
        <f>SUM(E19*O19)</f>
        <v>0</v>
      </c>
      <c r="H19" s="234">
        <f>SUM(G19*10%)</f>
        <v>0</v>
      </c>
      <c r="I19" s="234">
        <f>SUM((G19+H19)*Q19)</f>
        <v>0</v>
      </c>
      <c r="J19" s="234"/>
      <c r="K19" s="234">
        <f>SUM(G19+H19+I19+J19)</f>
        <v>0</v>
      </c>
      <c r="L19" s="216"/>
      <c r="M19" s="218"/>
      <c r="O19" s="157">
        <f>IF($J$13="YES",U32,U15)</f>
        <v>0.11849999999999999</v>
      </c>
      <c r="P19" s="158">
        <f>SUM(E19*$F$9)</f>
        <v>0</v>
      </c>
      <c r="Q19" s="156">
        <f>LOOKUP($F$11,'drop downs'!$G$1:$G$8,'drop downs'!$H$1:$H$8)</f>
        <v>0</v>
      </c>
      <c r="R19" s="159">
        <f>IF($J$13="YES",0,X15)</f>
        <v>0</v>
      </c>
      <c r="S19" s="149" t="str">
        <f>IF(E19&lt;50000,"Less 50","More 50")</f>
        <v>Less 50</v>
      </c>
      <c r="U19" s="157">
        <f>IF(E23&gt;50000,$AA$12,$AA$11)</f>
        <v>0.11849999999999999</v>
      </c>
      <c r="V19" s="158">
        <f>SUM(E23*$F$9)</f>
        <v>0</v>
      </c>
      <c r="W19" s="156">
        <f>LOOKUP($F$11,'drop downs'!$G$1:$G$8,'drop downs'!$H$1:$H$8)</f>
        <v>0</v>
      </c>
      <c r="X19" s="159">
        <f t="shared" si="0"/>
        <v>0</v>
      </c>
      <c r="AB19" s="173"/>
    </row>
    <row r="20" spans="2:28" ht="19.5" thickBot="1" x14ac:dyDescent="0.35">
      <c r="B20" s="230" t="s">
        <v>249</v>
      </c>
      <c r="C20" s="231"/>
      <c r="D20" s="210"/>
      <c r="E20" s="211"/>
      <c r="F20" s="232" t="str">
        <f t="shared" ref="F20:F23" si="1">IF(E20=0,"",P20)</f>
        <v/>
      </c>
      <c r="G20" s="233">
        <f t="shared" ref="G20:G23" si="2">SUM(E20*O20)</f>
        <v>0</v>
      </c>
      <c r="H20" s="234">
        <f t="shared" ref="H20:H23" si="3">SUM(G20*10%)</f>
        <v>0</v>
      </c>
      <c r="I20" s="234">
        <f t="shared" ref="I20:I23" si="4">SUM((G20+H20)*Q20)</f>
        <v>0</v>
      </c>
      <c r="J20" s="234"/>
      <c r="K20" s="234">
        <f t="shared" ref="K20:K23" si="5">SUM(G20+H20+I20+J20)</f>
        <v>0</v>
      </c>
      <c r="L20" s="216"/>
      <c r="M20" s="218"/>
      <c r="O20" s="157">
        <f t="shared" ref="O20:O23" si="6">IF($J$13="YES",U33,U16)</f>
        <v>0.11849999999999999</v>
      </c>
      <c r="P20" s="158">
        <f t="shared" ref="P20:P23" si="7">SUM(E20*$F$9)</f>
        <v>0</v>
      </c>
      <c r="Q20" s="156">
        <f>LOOKUP($F$11,'drop downs'!$G$1:$G$8,'drop downs'!$H$1:$H$8)</f>
        <v>0</v>
      </c>
      <c r="R20" s="159">
        <f t="shared" ref="R20:R23" si="8">IF($J$13="YES",0,X16)</f>
        <v>0</v>
      </c>
      <c r="S20" s="149" t="str">
        <f t="shared" ref="S20:S23" si="9">IF(E20&lt;50000,"Less 50","More 50")</f>
        <v>Less 50</v>
      </c>
      <c r="U20" s="174"/>
      <c r="V20" s="179"/>
      <c r="AB20" s="173"/>
    </row>
    <row r="21" spans="2:28" ht="19.5" thickBot="1" x14ac:dyDescent="0.35">
      <c r="B21" s="84"/>
      <c r="C21" s="219"/>
      <c r="D21" s="210"/>
      <c r="E21" s="211"/>
      <c r="F21" s="232" t="str">
        <f t="shared" si="1"/>
        <v/>
      </c>
      <c r="G21" s="233">
        <f t="shared" si="2"/>
        <v>0</v>
      </c>
      <c r="H21" s="234">
        <f t="shared" si="3"/>
        <v>0</v>
      </c>
      <c r="I21" s="234">
        <f t="shared" si="4"/>
        <v>0</v>
      </c>
      <c r="J21" s="234"/>
      <c r="K21" s="234">
        <f t="shared" si="5"/>
        <v>0</v>
      </c>
      <c r="L21" s="216"/>
      <c r="M21" s="218"/>
      <c r="O21" s="157">
        <f t="shared" si="6"/>
        <v>0.11849999999999999</v>
      </c>
      <c r="P21" s="158">
        <f t="shared" si="7"/>
        <v>0</v>
      </c>
      <c r="Q21" s="156">
        <f>LOOKUP($F$11,'drop downs'!$G$1:$G$8,'drop downs'!$H$1:$H$8)</f>
        <v>0</v>
      </c>
      <c r="R21" s="159">
        <f t="shared" si="8"/>
        <v>0</v>
      </c>
      <c r="S21" s="149" t="str">
        <f t="shared" si="9"/>
        <v>Less 50</v>
      </c>
      <c r="AB21" s="173"/>
    </row>
    <row r="22" spans="2:28" ht="19.5" thickBot="1" x14ac:dyDescent="0.35">
      <c r="B22" s="402" t="str">
        <f>IF(N29&gt;0,"Referral Required","")</f>
        <v/>
      </c>
      <c r="C22" s="235"/>
      <c r="D22" s="210"/>
      <c r="E22" s="211"/>
      <c r="F22" s="232" t="str">
        <f t="shared" si="1"/>
        <v/>
      </c>
      <c r="G22" s="233">
        <f t="shared" si="2"/>
        <v>0</v>
      </c>
      <c r="H22" s="234">
        <f t="shared" si="3"/>
        <v>0</v>
      </c>
      <c r="I22" s="234">
        <f t="shared" si="4"/>
        <v>0</v>
      </c>
      <c r="J22" s="234"/>
      <c r="K22" s="234">
        <f t="shared" si="5"/>
        <v>0</v>
      </c>
      <c r="L22" s="216"/>
      <c r="M22" s="218"/>
      <c r="O22" s="157">
        <f t="shared" si="6"/>
        <v>0.11849999999999999</v>
      </c>
      <c r="P22" s="158">
        <f t="shared" si="7"/>
        <v>0</v>
      </c>
      <c r="Q22" s="156">
        <f>LOOKUP($F$11,'drop downs'!$G$1:$G$8,'drop downs'!$H$1:$H$8)</f>
        <v>0</v>
      </c>
      <c r="R22" s="159">
        <f t="shared" si="8"/>
        <v>0</v>
      </c>
      <c r="S22" s="149" t="str">
        <f t="shared" si="9"/>
        <v>Less 50</v>
      </c>
      <c r="AB22" s="173"/>
    </row>
    <row r="23" spans="2:28" ht="19.5" thickBot="1" x14ac:dyDescent="0.35">
      <c r="B23" s="402"/>
      <c r="C23" s="235"/>
      <c r="D23" s="210"/>
      <c r="E23" s="211"/>
      <c r="F23" s="232" t="str">
        <f t="shared" si="1"/>
        <v/>
      </c>
      <c r="G23" s="233">
        <f t="shared" si="2"/>
        <v>0</v>
      </c>
      <c r="H23" s="234">
        <f t="shared" si="3"/>
        <v>0</v>
      </c>
      <c r="I23" s="234">
        <f t="shared" si="4"/>
        <v>0</v>
      </c>
      <c r="J23" s="234"/>
      <c r="K23" s="234">
        <f t="shared" si="5"/>
        <v>0</v>
      </c>
      <c r="L23" s="216"/>
      <c r="M23" s="218"/>
      <c r="O23" s="157">
        <f t="shared" si="6"/>
        <v>0.11849999999999999</v>
      </c>
      <c r="P23" s="158">
        <f t="shared" si="7"/>
        <v>0</v>
      </c>
      <c r="Q23" s="156">
        <f>LOOKUP($F$11,'drop downs'!$G$1:$G$8,'drop downs'!$H$1:$H$8)</f>
        <v>0</v>
      </c>
      <c r="R23" s="159">
        <f t="shared" si="8"/>
        <v>0</v>
      </c>
      <c r="S23" s="149" t="str">
        <f t="shared" si="9"/>
        <v>Less 50</v>
      </c>
      <c r="AB23" s="173"/>
    </row>
    <row r="24" spans="2:28" ht="19.5" thickBot="1" x14ac:dyDescent="0.35">
      <c r="B24" s="236"/>
      <c r="C24" s="219"/>
      <c r="D24" s="219"/>
      <c r="E24" s="219"/>
      <c r="F24" s="216"/>
      <c r="G24" s="237">
        <f>SUM(G19:G23)</f>
        <v>0</v>
      </c>
      <c r="H24" s="237">
        <f t="shared" ref="H24:I24" si="10">SUM(H19:H23)</f>
        <v>0</v>
      </c>
      <c r="I24" s="237">
        <f t="shared" si="10"/>
        <v>0</v>
      </c>
      <c r="J24" s="237">
        <f>SUM($O$28)</f>
        <v>55</v>
      </c>
      <c r="K24" s="237">
        <f>SUM(G24:J24)</f>
        <v>55</v>
      </c>
      <c r="L24" s="216"/>
      <c r="M24" s="218"/>
      <c r="U24" s="174"/>
      <c r="AB24" s="173"/>
    </row>
    <row r="25" spans="2:28" ht="19.5" thickBot="1" x14ac:dyDescent="0.35">
      <c r="B25" s="236"/>
      <c r="C25" s="219"/>
      <c r="D25" s="219"/>
      <c r="E25" s="219"/>
      <c r="F25" s="216"/>
      <c r="G25" s="216"/>
      <c r="H25" s="216"/>
      <c r="I25" s="216"/>
      <c r="J25" s="221"/>
      <c r="K25" s="216"/>
      <c r="L25" s="216"/>
      <c r="M25" s="218"/>
      <c r="U25" s="181"/>
      <c r="V25" s="182"/>
      <c r="W25" s="182"/>
      <c r="X25" s="182"/>
      <c r="Y25" s="183"/>
      <c r="Z25" s="182"/>
      <c r="AA25" s="182"/>
      <c r="AB25" s="184"/>
    </row>
    <row r="26" spans="2:28" ht="19.5" thickBot="1" x14ac:dyDescent="0.35">
      <c r="B26" s="215"/>
      <c r="C26" s="216"/>
      <c r="D26" s="216"/>
      <c r="E26" s="216"/>
      <c r="F26" s="216"/>
      <c r="G26" s="216"/>
      <c r="H26" s="216"/>
      <c r="I26" s="216"/>
      <c r="J26" s="216"/>
      <c r="K26" s="216"/>
      <c r="L26" s="216"/>
      <c r="M26" s="218"/>
      <c r="U26" s="188"/>
      <c r="V26" s="170"/>
      <c r="W26" s="170"/>
      <c r="X26" s="170"/>
      <c r="Y26" s="169"/>
      <c r="Z26" s="170"/>
      <c r="AA26" s="170"/>
      <c r="AB26" s="171"/>
    </row>
    <row r="27" spans="2:28" ht="19.5" thickBot="1" x14ac:dyDescent="0.35">
      <c r="B27" s="224" t="s">
        <v>18</v>
      </c>
      <c r="C27" s="223"/>
      <c r="D27" s="223"/>
      <c r="E27" s="223"/>
      <c r="F27" s="216"/>
      <c r="G27" s="386">
        <f>SUM(G24)</f>
        <v>0</v>
      </c>
      <c r="H27" s="387"/>
      <c r="I27" s="216"/>
      <c r="J27" s="216"/>
      <c r="K27" s="216"/>
      <c r="L27" s="216"/>
      <c r="M27" s="218"/>
      <c r="O27" s="149" t="s">
        <v>382</v>
      </c>
      <c r="U27" s="177" t="s">
        <v>380</v>
      </c>
      <c r="AB27" s="173"/>
    </row>
    <row r="28" spans="2:28" ht="19.5" thickBot="1" x14ac:dyDescent="0.35">
      <c r="B28" s="224" t="s">
        <v>33</v>
      </c>
      <c r="C28" s="223"/>
      <c r="D28" s="223"/>
      <c r="E28" s="223"/>
      <c r="F28" s="216"/>
      <c r="G28" s="386">
        <f>SUM(H24)</f>
        <v>0</v>
      </c>
      <c r="H28" s="387"/>
      <c r="I28" s="216"/>
      <c r="J28" s="216"/>
      <c r="K28" s="216"/>
      <c r="L28" s="216"/>
      <c r="M28" s="218"/>
      <c r="O28" s="126">
        <v>55</v>
      </c>
      <c r="U28" s="174" t="s">
        <v>381</v>
      </c>
      <c r="AB28" s="173"/>
    </row>
    <row r="29" spans="2:28" ht="19.5" thickBot="1" x14ac:dyDescent="0.35">
      <c r="B29" s="224" t="s">
        <v>34</v>
      </c>
      <c r="C29" s="223"/>
      <c r="D29" s="223"/>
      <c r="E29" s="223"/>
      <c r="F29" s="216"/>
      <c r="G29" s="386">
        <f>SUM(I24)</f>
        <v>0</v>
      </c>
      <c r="H29" s="387"/>
      <c r="I29" s="238">
        <f>LOOKUP(F11,'drop downs'!G1:G8,'drop downs'!H1:H8)</f>
        <v>0</v>
      </c>
      <c r="J29" s="216"/>
      <c r="K29" s="216"/>
      <c r="L29" s="216"/>
      <c r="M29" s="218"/>
      <c r="U29" s="189" t="str">
        <f>LOOKUP(U11,'Rural Affinity Rates '!G:G,'Rural Affinity Rates '!G:G)</f>
        <v>BULLS-12M-Less 50-Loss of Use Accident &amp; Illness-0</v>
      </c>
      <c r="V29" s="186">
        <f>LOOKUP(U11,'Rural Affinity Rates '!G:G,'Rural Affinity Rates '!F:F)</f>
        <v>0.14249999999999999</v>
      </c>
      <c r="W29" s="179"/>
      <c r="X29" s="187">
        <v>0</v>
      </c>
      <c r="AA29" s="161">
        <f>IF(U11=U29,V29,0)</f>
        <v>0.14249999999999999</v>
      </c>
      <c r="AB29" s="173"/>
    </row>
    <row r="30" spans="2:28" ht="19.5" thickBot="1" x14ac:dyDescent="0.35">
      <c r="B30" s="224" t="str">
        <f>CONCATENATE(J18)</f>
        <v>U/W Fee</v>
      </c>
      <c r="C30" s="223"/>
      <c r="D30" s="223"/>
      <c r="E30" s="223"/>
      <c r="F30" s="216"/>
      <c r="G30" s="386">
        <f>SUM($O$28)</f>
        <v>55</v>
      </c>
      <c r="H30" s="387"/>
      <c r="I30" s="216"/>
      <c r="J30" s="216"/>
      <c r="K30" s="216"/>
      <c r="L30" s="216"/>
      <c r="M30" s="218"/>
      <c r="U30" s="189" t="str">
        <f>LOOKUP(U12,'Rural Affinity Rates '!G:G,'Rural Affinity Rates '!G:G)</f>
        <v>BULLS-12M-More 50-Loss of Use Accident &amp; Illness-0</v>
      </c>
      <c r="V30" s="186">
        <f>LOOKUP(U12,'Rural Affinity Rates '!G:G,'Rural Affinity Rates '!F:F)</f>
        <v>0.14249999999999999</v>
      </c>
      <c r="X30" s="187">
        <v>0</v>
      </c>
      <c r="AA30" s="161">
        <f>IF(U12=U30,V30,0)</f>
        <v>0.14249999999999999</v>
      </c>
      <c r="AB30" s="173"/>
    </row>
    <row r="31" spans="2:28" ht="19.5" thickBot="1" x14ac:dyDescent="0.35">
      <c r="B31" s="224" t="s">
        <v>35</v>
      </c>
      <c r="C31" s="223"/>
      <c r="D31" s="223"/>
      <c r="E31" s="223"/>
      <c r="F31" s="216"/>
      <c r="G31" s="403">
        <f>SUM(G27:H30)</f>
        <v>55</v>
      </c>
      <c r="H31" s="404"/>
      <c r="I31" s="220" t="str">
        <f>IF(F3='drop downs'!A2,"Private Sale - Quote only and Premiums subject to documentation","")</f>
        <v/>
      </c>
      <c r="J31" s="221" t="s">
        <v>94</v>
      </c>
      <c r="K31" s="221" t="str">
        <f>IF(J13="YES","Rural Affinity","All State")</f>
        <v>All State</v>
      </c>
      <c r="L31" s="221"/>
      <c r="M31" s="218"/>
      <c r="U31" s="174"/>
      <c r="V31" s="150"/>
      <c r="W31" s="190"/>
      <c r="AB31" s="173"/>
    </row>
    <row r="32" spans="2:28" ht="19.5" thickBot="1" x14ac:dyDescent="0.35">
      <c r="B32" s="215"/>
      <c r="C32" s="216"/>
      <c r="D32" s="216"/>
      <c r="E32" s="216"/>
      <c r="F32" s="216"/>
      <c r="G32" s="216"/>
      <c r="H32" s="216"/>
      <c r="I32" s="216"/>
      <c r="J32" s="216"/>
      <c r="K32" s="216"/>
      <c r="L32" s="216"/>
      <c r="M32" s="218"/>
      <c r="N32" s="150"/>
      <c r="O32" s="150"/>
      <c r="P32" s="150"/>
      <c r="Q32" s="150"/>
      <c r="R32" s="150"/>
      <c r="S32" s="150"/>
      <c r="T32" s="150"/>
      <c r="U32" s="157">
        <f>SUM($AA$29)</f>
        <v>0.14249999999999999</v>
      </c>
      <c r="V32" s="158">
        <f>SUM(E19*$F$9)</f>
        <v>0</v>
      </c>
      <c r="W32" s="156">
        <f>LOOKUP($F$11,'drop downs'!$G$1:$G$8,'drop downs'!$H$1:$H$8)</f>
        <v>0</v>
      </c>
      <c r="X32" s="159"/>
      <c r="AB32" s="173"/>
    </row>
    <row r="33" spans="2:28" ht="19.5" thickBot="1" x14ac:dyDescent="0.35">
      <c r="B33" s="239"/>
      <c r="C33" s="240"/>
      <c r="D33" s="240"/>
      <c r="E33" s="240"/>
      <c r="F33" s="241"/>
      <c r="G33" s="241"/>
      <c r="H33" s="241"/>
      <c r="I33" s="241"/>
      <c r="J33" s="241"/>
      <c r="K33" s="241"/>
      <c r="L33" s="241"/>
      <c r="M33" s="242"/>
      <c r="U33" s="157">
        <f t="shared" ref="U33:U36" si="11">SUM($AA$29)</f>
        <v>0.14249999999999999</v>
      </c>
      <c r="V33" s="158">
        <f>SUM(E20*$F$9)</f>
        <v>0</v>
      </c>
      <c r="W33" s="156">
        <f>LOOKUP($F$11,'drop downs'!$G$1:$G$8,'drop downs'!$H$1:$H$8)</f>
        <v>0</v>
      </c>
      <c r="X33" s="159"/>
      <c r="AB33" s="173"/>
    </row>
    <row r="34" spans="2:28" ht="14.25" customHeight="1" thickBot="1" x14ac:dyDescent="0.35">
      <c r="B34" s="396" t="s">
        <v>411</v>
      </c>
      <c r="C34" s="397"/>
      <c r="D34" s="397"/>
      <c r="E34" s="397"/>
      <c r="F34" s="397"/>
      <c r="G34" s="397"/>
      <c r="H34" s="397"/>
      <c r="I34" s="397"/>
      <c r="J34" s="397"/>
      <c r="K34" s="243"/>
      <c r="L34" s="243"/>
      <c r="M34" s="244"/>
      <c r="U34" s="157">
        <f t="shared" si="11"/>
        <v>0.14249999999999999</v>
      </c>
      <c r="V34" s="158">
        <f>SUM(E21*$F$9)</f>
        <v>0</v>
      </c>
      <c r="W34" s="156">
        <f>LOOKUP($F$11,'drop downs'!$G$1:$G$8,'drop downs'!$H$1:$H$8)</f>
        <v>0</v>
      </c>
      <c r="X34" s="159"/>
      <c r="AB34" s="173"/>
    </row>
    <row r="35" spans="2:28" ht="14.25" customHeight="1" thickBot="1" x14ac:dyDescent="0.35">
      <c r="B35" s="398"/>
      <c r="C35" s="399"/>
      <c r="D35" s="399"/>
      <c r="E35" s="399"/>
      <c r="F35" s="399"/>
      <c r="G35" s="399"/>
      <c r="H35" s="399"/>
      <c r="I35" s="399"/>
      <c r="J35" s="399"/>
      <c r="K35" s="216"/>
      <c r="L35" s="216"/>
      <c r="M35" s="218"/>
      <c r="U35" s="157">
        <f t="shared" si="11"/>
        <v>0.14249999999999999</v>
      </c>
      <c r="V35" s="158">
        <f>SUM(E22*$F$9)</f>
        <v>0</v>
      </c>
      <c r="W35" s="156">
        <f>LOOKUP($F$11,'drop downs'!$G$1:$G$8,'drop downs'!$H$1:$H$8)</f>
        <v>0</v>
      </c>
      <c r="X35" s="159"/>
      <c r="AB35" s="173"/>
    </row>
    <row r="36" spans="2:28" ht="14.25" customHeight="1" thickBot="1" x14ac:dyDescent="0.35">
      <c r="B36" s="398"/>
      <c r="C36" s="399"/>
      <c r="D36" s="399"/>
      <c r="E36" s="399"/>
      <c r="F36" s="399"/>
      <c r="G36" s="399"/>
      <c r="H36" s="399"/>
      <c r="I36" s="399"/>
      <c r="J36" s="399"/>
      <c r="K36" s="216"/>
      <c r="L36" s="216"/>
      <c r="M36" s="218"/>
      <c r="U36" s="157">
        <f t="shared" si="11"/>
        <v>0.14249999999999999</v>
      </c>
      <c r="V36" s="158">
        <f>SUM(E23*$F$9)</f>
        <v>0</v>
      </c>
      <c r="W36" s="156">
        <f>LOOKUP($F$11,'drop downs'!$G$1:$G$8,'drop downs'!$H$1:$H$8)</f>
        <v>0</v>
      </c>
      <c r="X36" s="159"/>
      <c r="AB36" s="173"/>
    </row>
    <row r="37" spans="2:28" ht="18.75" customHeight="1" x14ac:dyDescent="0.3">
      <c r="B37" s="405">
        <v>0</v>
      </c>
      <c r="C37" s="72" t="s">
        <v>250</v>
      </c>
      <c r="D37" s="71" t="s">
        <v>17</v>
      </c>
      <c r="E37" s="71" t="s">
        <v>37</v>
      </c>
      <c r="F37" s="245" t="s">
        <v>18</v>
      </c>
      <c r="G37" s="246" t="s">
        <v>33</v>
      </c>
      <c r="H37" s="72" t="s">
        <v>374</v>
      </c>
      <c r="I37" s="72" t="s">
        <v>413</v>
      </c>
      <c r="J37" s="245" t="s">
        <v>375</v>
      </c>
      <c r="K37" s="63"/>
      <c r="L37" s="247" t="s">
        <v>412</v>
      </c>
      <c r="M37" s="218"/>
      <c r="U37" s="174"/>
      <c r="AB37" s="173"/>
    </row>
    <row r="38" spans="2:28" ht="18.75" customHeight="1" x14ac:dyDescent="0.3">
      <c r="B38" s="405"/>
      <c r="C38" s="248" t="str">
        <f>CONCATENATE($D$19)</f>
        <v/>
      </c>
      <c r="D38" s="249">
        <f>SUM($E$19)</f>
        <v>0</v>
      </c>
      <c r="E38" s="250">
        <f>SUM(D38*$B$37)</f>
        <v>0</v>
      </c>
      <c r="F38" s="251">
        <f>SUM(D38*O38)</f>
        <v>0</v>
      </c>
      <c r="G38" s="252">
        <f>SUM(F38*10%)</f>
        <v>0</v>
      </c>
      <c r="H38" s="252">
        <f>SUM((F38+G38)*$I$29)</f>
        <v>0</v>
      </c>
      <c r="I38" s="252"/>
      <c r="J38" s="252">
        <f>SUM(F38+G38+H38+I38)</f>
        <v>0</v>
      </c>
      <c r="K38" s="63"/>
      <c r="L38" s="253" t="str">
        <f>IF(F38&gt;0,O38,"")</f>
        <v/>
      </c>
      <c r="M38" s="218"/>
      <c r="O38" s="202">
        <f>LOOKUP(P38,'All State Rates '!G:G,'All State Rates '!F:F)</f>
        <v>0.11849999999999999</v>
      </c>
      <c r="P38" s="401" t="str">
        <f>CONCATENATE($U$62,"-",$B$37)</f>
        <v>BULLS-12M-Less 50-Loss of Use Accident &amp; Illness-0</v>
      </c>
      <c r="Q38" s="401"/>
      <c r="U38" s="174"/>
      <c r="AB38" s="173"/>
    </row>
    <row r="39" spans="2:28" ht="18.75" customHeight="1" x14ac:dyDescent="0.3">
      <c r="B39" s="405"/>
      <c r="C39" s="248" t="str">
        <f>CONCATENATE($D$20)</f>
        <v/>
      </c>
      <c r="D39" s="249">
        <f>SUM($E$20)</f>
        <v>0</v>
      </c>
      <c r="E39" s="250">
        <f t="shared" ref="E39:E42" si="12">SUM(D39*$B$37)</f>
        <v>0</v>
      </c>
      <c r="F39" s="251">
        <f t="shared" ref="F39:F42" si="13">SUM(D39*O39)</f>
        <v>0</v>
      </c>
      <c r="G39" s="252">
        <f t="shared" ref="G39:G42" si="14">SUM(F39*10%)</f>
        <v>0</v>
      </c>
      <c r="H39" s="252">
        <f t="shared" ref="H39:H42" si="15">SUM((F39+G39)*$I$29)</f>
        <v>0</v>
      </c>
      <c r="I39" s="252"/>
      <c r="J39" s="252">
        <f t="shared" ref="J39:J42" si="16">SUM(F39+G39+H39+I39)</f>
        <v>0</v>
      </c>
      <c r="K39" s="63"/>
      <c r="L39" s="253" t="str">
        <f t="shared" ref="L39:L74" si="17">IF(F39&gt;0,O39,"")</f>
        <v/>
      </c>
      <c r="M39" s="218"/>
      <c r="O39" s="202">
        <f>LOOKUP(P39,'All State Rates '!G:G,'All State Rates '!F:F)</f>
        <v>0.11849999999999999</v>
      </c>
      <c r="P39" s="401" t="str">
        <f>CONCATENATE($U$63,"-",$B$37)</f>
        <v>BULLS-12M-Less 50-Loss of Use Accident &amp; Illness-0</v>
      </c>
      <c r="Q39" s="401"/>
      <c r="U39" s="174"/>
      <c r="AB39" s="173"/>
    </row>
    <row r="40" spans="2:28" ht="19.5" customHeight="1" thickBot="1" x14ac:dyDescent="0.35">
      <c r="B40" s="405"/>
      <c r="C40" s="248" t="str">
        <f>CONCATENATE($D$21)</f>
        <v/>
      </c>
      <c r="D40" s="249">
        <f>SUM($E$21)</f>
        <v>0</v>
      </c>
      <c r="E40" s="250">
        <f t="shared" si="12"/>
        <v>0</v>
      </c>
      <c r="F40" s="251">
        <f t="shared" si="13"/>
        <v>0</v>
      </c>
      <c r="G40" s="252">
        <f t="shared" si="14"/>
        <v>0</v>
      </c>
      <c r="H40" s="252">
        <f t="shared" si="15"/>
        <v>0</v>
      </c>
      <c r="I40" s="252"/>
      <c r="J40" s="252">
        <f t="shared" si="16"/>
        <v>0</v>
      </c>
      <c r="K40" s="63"/>
      <c r="L40" s="253" t="str">
        <f t="shared" si="17"/>
        <v/>
      </c>
      <c r="M40" s="218"/>
      <c r="O40" s="202">
        <f>LOOKUP(P40,'All State Rates '!G:G,'All State Rates '!F:F)</f>
        <v>0.11849999999999999</v>
      </c>
      <c r="P40" s="401" t="str">
        <f>CONCATENATE($U$64,"-",$B$37)</f>
        <v>BULLS-12M-Less 50-Loss of Use Accident &amp; Illness-0</v>
      </c>
      <c r="Q40" s="401"/>
      <c r="U40" s="181"/>
      <c r="V40" s="182"/>
      <c r="W40" s="182"/>
      <c r="X40" s="182"/>
      <c r="Y40" s="183"/>
      <c r="Z40" s="182"/>
      <c r="AA40" s="182"/>
      <c r="AB40" s="184"/>
    </row>
    <row r="41" spans="2:28" ht="18.75" customHeight="1" x14ac:dyDescent="0.3">
      <c r="B41" s="405"/>
      <c r="C41" s="248" t="str">
        <f>CONCATENATE($D$22)</f>
        <v/>
      </c>
      <c r="D41" s="249">
        <f>SUM($E$22)</f>
        <v>0</v>
      </c>
      <c r="E41" s="250">
        <f t="shared" si="12"/>
        <v>0</v>
      </c>
      <c r="F41" s="251">
        <f t="shared" si="13"/>
        <v>0</v>
      </c>
      <c r="G41" s="252">
        <f t="shared" si="14"/>
        <v>0</v>
      </c>
      <c r="H41" s="252">
        <f t="shared" si="15"/>
        <v>0</v>
      </c>
      <c r="I41" s="252"/>
      <c r="J41" s="252">
        <f t="shared" si="16"/>
        <v>0</v>
      </c>
      <c r="K41" s="63"/>
      <c r="L41" s="253" t="str">
        <f t="shared" si="17"/>
        <v/>
      </c>
      <c r="M41" s="218"/>
      <c r="O41" s="202">
        <f>LOOKUP(P41,'All State Rates '!G:G,'All State Rates '!F:F)</f>
        <v>0.11849999999999999</v>
      </c>
      <c r="P41" s="401" t="str">
        <f>CONCATENATE($U$65,"-",$B$37)</f>
        <v>BULLS-12M-Less 50-Loss of Use Accident &amp; Illness-0</v>
      </c>
      <c r="Q41" s="401"/>
    </row>
    <row r="42" spans="2:28" ht="19.5" customHeight="1" thickBot="1" x14ac:dyDescent="0.35">
      <c r="B42" s="405"/>
      <c r="C42" s="248" t="str">
        <f>CONCATENATE($D$23)</f>
        <v/>
      </c>
      <c r="D42" s="249">
        <f>SUM($E$23)</f>
        <v>0</v>
      </c>
      <c r="E42" s="250">
        <f t="shared" si="12"/>
        <v>0</v>
      </c>
      <c r="F42" s="251">
        <f t="shared" si="13"/>
        <v>0</v>
      </c>
      <c r="G42" s="252">
        <f t="shared" si="14"/>
        <v>0</v>
      </c>
      <c r="H42" s="252">
        <f t="shared" si="15"/>
        <v>0</v>
      </c>
      <c r="I42" s="252"/>
      <c r="J42" s="252">
        <f t="shared" si="16"/>
        <v>0</v>
      </c>
      <c r="K42" s="63"/>
      <c r="L42" s="253" t="str">
        <f t="shared" si="17"/>
        <v/>
      </c>
      <c r="M42" s="218"/>
      <c r="O42" s="202">
        <f>LOOKUP(P42,'All State Rates '!G:G,'All State Rates '!F:F)</f>
        <v>0.11849999999999999</v>
      </c>
      <c r="P42" s="401" t="str">
        <f>CONCATENATE($U$66,"-",$B$37)</f>
        <v>BULLS-12M-Less 50-Loss of Use Accident &amp; Illness-0</v>
      </c>
      <c r="Q42" s="401"/>
    </row>
    <row r="43" spans="2:28" ht="27" thickBot="1" x14ac:dyDescent="0.45">
      <c r="B43" s="254"/>
      <c r="C43" s="73"/>
      <c r="D43" s="73"/>
      <c r="E43" s="69"/>
      <c r="F43" s="255">
        <f>SUM(F38:F42)</f>
        <v>0</v>
      </c>
      <c r="G43" s="255">
        <f t="shared" ref="G43:H43" si="18">SUM(G38:G42)</f>
        <v>0</v>
      </c>
      <c r="H43" s="255">
        <f t="shared" si="18"/>
        <v>0</v>
      </c>
      <c r="I43" s="255">
        <f>SUM($O$28)</f>
        <v>55</v>
      </c>
      <c r="J43" s="255">
        <f>SUM(F43:I43)</f>
        <v>55</v>
      </c>
      <c r="K43" s="63"/>
      <c r="L43" s="253"/>
      <c r="M43" s="218"/>
      <c r="P43" s="401"/>
      <c r="Q43" s="401"/>
      <c r="U43" s="180" t="s">
        <v>376</v>
      </c>
    </row>
    <row r="44" spans="2:28" ht="18.75" customHeight="1" thickBot="1" x14ac:dyDescent="0.45">
      <c r="B44" s="254"/>
      <c r="C44" s="73"/>
      <c r="D44" s="73"/>
      <c r="E44" s="69"/>
      <c r="F44" s="256"/>
      <c r="G44" s="256"/>
      <c r="H44" s="256"/>
      <c r="I44" s="256"/>
      <c r="J44" s="256"/>
      <c r="K44" s="63"/>
      <c r="L44" s="253" t="str">
        <f t="shared" si="17"/>
        <v/>
      </c>
      <c r="M44" s="218"/>
      <c r="P44" s="401"/>
      <c r="Q44" s="401"/>
      <c r="U44" s="155" t="str">
        <f>_xlfn.TEXTBEFORE(U11,V44)</f>
        <v>BULLS-12M-Less 50-Loss of Use Accident &amp; Illness</v>
      </c>
      <c r="V44" s="149" t="str">
        <f>CONCATENATE("-",F9)</f>
        <v>-0</v>
      </c>
      <c r="W44" s="149">
        <v>0</v>
      </c>
      <c r="X44" s="149" t="str">
        <f>IF(W44=$F$9,"No","Yes")</f>
        <v>No</v>
      </c>
      <c r="Z44" s="150"/>
      <c r="AA44" s="150"/>
      <c r="AB44" s="150"/>
    </row>
    <row r="45" spans="2:28" ht="19.5" thickBot="1" x14ac:dyDescent="0.35">
      <c r="B45" s="405">
        <v>0.1</v>
      </c>
      <c r="C45" s="72" t="s">
        <v>250</v>
      </c>
      <c r="D45" s="71" t="s">
        <v>17</v>
      </c>
      <c r="E45" s="71" t="s">
        <v>37</v>
      </c>
      <c r="F45" s="245" t="s">
        <v>18</v>
      </c>
      <c r="G45" s="246" t="s">
        <v>33</v>
      </c>
      <c r="H45" s="72" t="s">
        <v>374</v>
      </c>
      <c r="I45" s="72" t="s">
        <v>413</v>
      </c>
      <c r="J45" s="245" t="s">
        <v>375</v>
      </c>
      <c r="K45" s="63"/>
      <c r="L45" s="253"/>
      <c r="M45" s="218"/>
      <c r="U45" s="155" t="str">
        <f>_xlfn.TEXTBEFORE(U12,V45)</f>
        <v>BULLS-12M-More 50-Loss of Use Accident &amp; Illness</v>
      </c>
      <c r="V45" s="149" t="str">
        <f>CONCATENATE("-",F9)</f>
        <v>-0</v>
      </c>
      <c r="W45" s="149">
        <v>0.1</v>
      </c>
      <c r="X45" s="149" t="str">
        <f t="shared" ref="X45:X48" si="19">IF(W45=$F$9,"No","Yes")</f>
        <v>Yes</v>
      </c>
    </row>
    <row r="46" spans="2:28" x14ac:dyDescent="0.3">
      <c r="B46" s="405"/>
      <c r="C46" s="248" t="str">
        <f>CONCATENATE($D$19)</f>
        <v/>
      </c>
      <c r="D46" s="249">
        <f>SUM($E$19)</f>
        <v>0</v>
      </c>
      <c r="E46" s="250">
        <f>SUM(D46*$B$45)</f>
        <v>0</v>
      </c>
      <c r="F46" s="251">
        <f>SUM(D46*O46)</f>
        <v>0</v>
      </c>
      <c r="G46" s="252">
        <f>SUM(F46*10%)</f>
        <v>0</v>
      </c>
      <c r="H46" s="252">
        <f>SUM((F46+G46)*$I$29)</f>
        <v>0</v>
      </c>
      <c r="I46" s="252"/>
      <c r="J46" s="252">
        <f>SUM(F46+G46+H46+I46)</f>
        <v>0</v>
      </c>
      <c r="K46" s="63"/>
      <c r="L46" s="253" t="str">
        <f t="shared" si="17"/>
        <v/>
      </c>
      <c r="M46" s="218"/>
      <c r="O46" s="202">
        <f>LOOKUP(P46,'All State Rates '!G:G,'All State Rates '!F:F)</f>
        <v>0.1066</v>
      </c>
      <c r="P46" s="401" t="str">
        <f>CONCATENATE($U$62,"-",$B$45)</f>
        <v>BULLS-12M-Less 50-Loss of Use Accident &amp; Illness-0.1</v>
      </c>
      <c r="Q46" s="401"/>
      <c r="W46" s="149">
        <v>0.15</v>
      </c>
      <c r="X46" s="149" t="str">
        <f t="shared" si="19"/>
        <v>Yes</v>
      </c>
    </row>
    <row r="47" spans="2:28" x14ac:dyDescent="0.3">
      <c r="B47" s="405"/>
      <c r="C47" s="248" t="str">
        <f>CONCATENATE($D$20)</f>
        <v/>
      </c>
      <c r="D47" s="249">
        <f>SUM($E$20)</f>
        <v>0</v>
      </c>
      <c r="E47" s="250">
        <f t="shared" ref="E47:E50" si="20">SUM(D47*$B$45)</f>
        <v>0</v>
      </c>
      <c r="F47" s="251">
        <f t="shared" ref="F47:F50" si="21">SUM(D47*O47)</f>
        <v>0</v>
      </c>
      <c r="G47" s="252">
        <f t="shared" ref="G47:G50" si="22">SUM(F47*10%)</f>
        <v>0</v>
      </c>
      <c r="H47" s="252">
        <f t="shared" ref="H47:H50" si="23">SUM((F47+G47)*$I$29)</f>
        <v>0</v>
      </c>
      <c r="I47" s="252"/>
      <c r="J47" s="252">
        <f t="shared" ref="J47:J50" si="24">SUM(F47+G47+H47+I47)</f>
        <v>0</v>
      </c>
      <c r="K47" s="63"/>
      <c r="L47" s="253" t="str">
        <f t="shared" si="17"/>
        <v/>
      </c>
      <c r="M47" s="218"/>
      <c r="O47" s="202">
        <f>LOOKUP(P47,'All State Rates '!G:G,'All State Rates '!F:F)</f>
        <v>0.1066</v>
      </c>
      <c r="P47" s="401" t="str">
        <f>CONCATENATE($U$63,"-",$B$45)</f>
        <v>BULLS-12M-Less 50-Loss of Use Accident &amp; Illness-0.1</v>
      </c>
      <c r="Q47" s="401"/>
      <c r="W47" s="191">
        <v>0.2</v>
      </c>
      <c r="X47" s="149" t="str">
        <f t="shared" si="19"/>
        <v>Yes</v>
      </c>
    </row>
    <row r="48" spans="2:28" x14ac:dyDescent="0.3">
      <c r="B48" s="405"/>
      <c r="C48" s="248" t="str">
        <f>CONCATENATE($D$21)</f>
        <v/>
      </c>
      <c r="D48" s="249">
        <f>SUM($E$21)</f>
        <v>0</v>
      </c>
      <c r="E48" s="250">
        <f t="shared" si="20"/>
        <v>0</v>
      </c>
      <c r="F48" s="251">
        <f t="shared" si="21"/>
        <v>0</v>
      </c>
      <c r="G48" s="252">
        <f t="shared" si="22"/>
        <v>0</v>
      </c>
      <c r="H48" s="252">
        <f t="shared" si="23"/>
        <v>0</v>
      </c>
      <c r="I48" s="252"/>
      <c r="J48" s="252">
        <f t="shared" si="24"/>
        <v>0</v>
      </c>
      <c r="K48" s="63"/>
      <c r="L48" s="253" t="str">
        <f t="shared" si="17"/>
        <v/>
      </c>
      <c r="M48" s="218"/>
      <c r="O48" s="202">
        <f>LOOKUP(P48,'All State Rates '!G:G,'All State Rates '!F:F)</f>
        <v>0.1066</v>
      </c>
      <c r="P48" s="401" t="str">
        <f>CONCATENATE($U$64,"-",$B$45)</f>
        <v>BULLS-12M-Less 50-Loss of Use Accident &amp; Illness-0.1</v>
      </c>
      <c r="Q48" s="401"/>
      <c r="W48" s="149">
        <v>0.25</v>
      </c>
      <c r="X48" s="149" t="str">
        <f t="shared" si="19"/>
        <v>Yes</v>
      </c>
    </row>
    <row r="49" spans="2:31" x14ac:dyDescent="0.3">
      <c r="B49" s="405"/>
      <c r="C49" s="248" t="str">
        <f>CONCATENATE($D$22)</f>
        <v/>
      </c>
      <c r="D49" s="249">
        <f>SUM($E$22)</f>
        <v>0</v>
      </c>
      <c r="E49" s="250">
        <f t="shared" si="20"/>
        <v>0</v>
      </c>
      <c r="F49" s="251">
        <f t="shared" si="21"/>
        <v>0</v>
      </c>
      <c r="G49" s="252">
        <f t="shared" si="22"/>
        <v>0</v>
      </c>
      <c r="H49" s="252">
        <f t="shared" si="23"/>
        <v>0</v>
      </c>
      <c r="I49" s="252"/>
      <c r="J49" s="252">
        <f t="shared" si="24"/>
        <v>0</v>
      </c>
      <c r="K49" s="63"/>
      <c r="L49" s="253" t="str">
        <f t="shared" si="17"/>
        <v/>
      </c>
      <c r="M49" s="218"/>
      <c r="O49" s="202">
        <f>LOOKUP(P49,'All State Rates '!G:G,'All State Rates '!F:F)</f>
        <v>0.1066</v>
      </c>
      <c r="P49" s="401" t="str">
        <f>CONCATENATE($U$65,"-",$B$45)</f>
        <v>BULLS-12M-Less 50-Loss of Use Accident &amp; Illness-0.1</v>
      </c>
      <c r="Q49" s="401"/>
    </row>
    <row r="50" spans="2:31" ht="19.5" thickBot="1" x14ac:dyDescent="0.35">
      <c r="B50" s="405"/>
      <c r="C50" s="248" t="str">
        <f>CONCATENATE($D$23)</f>
        <v/>
      </c>
      <c r="D50" s="249">
        <f>SUM($E$23)</f>
        <v>0</v>
      </c>
      <c r="E50" s="250">
        <f t="shared" si="20"/>
        <v>0</v>
      </c>
      <c r="F50" s="251">
        <f t="shared" si="21"/>
        <v>0</v>
      </c>
      <c r="G50" s="252">
        <f t="shared" si="22"/>
        <v>0</v>
      </c>
      <c r="H50" s="252">
        <f t="shared" si="23"/>
        <v>0</v>
      </c>
      <c r="I50" s="252"/>
      <c r="J50" s="252">
        <f t="shared" si="24"/>
        <v>0</v>
      </c>
      <c r="K50" s="63"/>
      <c r="L50" s="253" t="str">
        <f t="shared" si="17"/>
        <v/>
      </c>
      <c r="M50" s="218"/>
      <c r="O50" s="202">
        <f>LOOKUP(P50,'All State Rates '!G:G,'All State Rates '!F:F)</f>
        <v>0.1066</v>
      </c>
      <c r="P50" s="401" t="str">
        <f>CONCATENATE($U$66,"-",$B$45)</f>
        <v>BULLS-12M-Less 50-Loss of Use Accident &amp; Illness-0.1</v>
      </c>
      <c r="Q50" s="401"/>
      <c r="U50" s="162" t="str">
        <f>CONCATENATE($U$44,"-",W44)</f>
        <v>BULLS-12M-Less 50-Loss of Use Accident &amp; Illness-0</v>
      </c>
      <c r="V50" s="149">
        <v>0</v>
      </c>
      <c r="W50" s="149" t="str">
        <f>LOOKUP(V50,$W$44:$W$48,$X$44:$X$48)</f>
        <v>No</v>
      </c>
      <c r="X50" s="160">
        <f>LOOKUP(U50,'All State Rates '!G:G,'All State Rates '!F:F)</f>
        <v>0.11849999999999999</v>
      </c>
      <c r="Z50" s="192"/>
      <c r="AA50" s="192"/>
      <c r="AB50" s="192"/>
    </row>
    <row r="51" spans="2:31" ht="27" thickBot="1" x14ac:dyDescent="0.45">
      <c r="B51" s="257"/>
      <c r="C51" s="73"/>
      <c r="D51" s="73"/>
      <c r="E51" s="69"/>
      <c r="F51" s="255">
        <f>SUM(F46:F50)</f>
        <v>0</v>
      </c>
      <c r="G51" s="255">
        <f t="shared" ref="G51:H51" si="25">SUM(G46:G50)</f>
        <v>0</v>
      </c>
      <c r="H51" s="255">
        <f t="shared" si="25"/>
        <v>0</v>
      </c>
      <c r="I51" s="255">
        <f>SUM($O$28)</f>
        <v>55</v>
      </c>
      <c r="J51" s="255">
        <f>SUM(F51:I51)</f>
        <v>55</v>
      </c>
      <c r="K51" s="63"/>
      <c r="L51" s="253"/>
      <c r="M51" s="218"/>
      <c r="U51" s="162" t="str">
        <f t="shared" ref="U51:U54" si="26">CONCATENATE($U$44,"-",W45)</f>
        <v>BULLS-12M-Less 50-Loss of Use Accident &amp; Illness-0.1</v>
      </c>
      <c r="V51" s="149">
        <v>0.1</v>
      </c>
      <c r="W51" s="149" t="str">
        <f t="shared" ref="W51:W59" si="27">LOOKUP(V51,$W$44:$W$48,$X$44:$X$48)</f>
        <v>Yes</v>
      </c>
      <c r="X51" s="160">
        <f>LOOKUP(U51,'All State Rates '!G:G,'All State Rates '!F:F)</f>
        <v>0.1066</v>
      </c>
      <c r="Z51" s="192"/>
      <c r="AA51" s="192"/>
      <c r="AB51" s="192"/>
    </row>
    <row r="52" spans="2:31" ht="17.25" customHeight="1" x14ac:dyDescent="0.4">
      <c r="B52" s="257"/>
      <c r="C52" s="63"/>
      <c r="D52" s="63"/>
      <c r="E52" s="69"/>
      <c r="F52" s="63"/>
      <c r="G52" s="63"/>
      <c r="H52" s="63"/>
      <c r="I52" s="63"/>
      <c r="J52" s="63"/>
      <c r="K52" s="63"/>
      <c r="L52" s="253" t="str">
        <f t="shared" si="17"/>
        <v/>
      </c>
      <c r="M52" s="218"/>
      <c r="U52" s="162" t="str">
        <f t="shared" si="26"/>
        <v>BULLS-12M-Less 50-Loss of Use Accident &amp; Illness-0.15</v>
      </c>
      <c r="V52" s="149">
        <v>0.15</v>
      </c>
      <c r="W52" s="149" t="str">
        <f t="shared" si="27"/>
        <v>Yes</v>
      </c>
      <c r="X52" s="160">
        <f>LOOKUP(U52,'All State Rates '!G:G,'All State Rates '!F:F)</f>
        <v>0.1007</v>
      </c>
      <c r="Z52" s="192"/>
      <c r="AA52" s="192"/>
      <c r="AB52" s="192"/>
    </row>
    <row r="53" spans="2:31" x14ac:dyDescent="0.3">
      <c r="B53" s="405">
        <v>0.15</v>
      </c>
      <c r="C53" s="72" t="s">
        <v>250</v>
      </c>
      <c r="D53" s="71" t="s">
        <v>17</v>
      </c>
      <c r="E53" s="71" t="s">
        <v>37</v>
      </c>
      <c r="F53" s="245" t="s">
        <v>18</v>
      </c>
      <c r="G53" s="246" t="s">
        <v>33</v>
      </c>
      <c r="H53" s="72" t="s">
        <v>374</v>
      </c>
      <c r="I53" s="72" t="s">
        <v>413</v>
      </c>
      <c r="J53" s="245" t="s">
        <v>375</v>
      </c>
      <c r="K53" s="63"/>
      <c r="L53" s="253"/>
      <c r="M53" s="218"/>
      <c r="U53" s="162" t="str">
        <f t="shared" si="26"/>
        <v>BULLS-12M-Less 50-Loss of Use Accident &amp; Illness-0.2</v>
      </c>
      <c r="V53" s="191">
        <v>0.2</v>
      </c>
      <c r="W53" s="149" t="str">
        <f t="shared" si="27"/>
        <v>Yes</v>
      </c>
      <c r="X53" s="160">
        <f>LOOKUP(U53,'All State Rates '!G:G,'All State Rates '!F:F)</f>
        <v>9.4799999999999995E-2</v>
      </c>
      <c r="Z53" s="192"/>
      <c r="AA53" s="192"/>
      <c r="AB53" s="192"/>
    </row>
    <row r="54" spans="2:31" x14ac:dyDescent="0.3">
      <c r="B54" s="405"/>
      <c r="C54" s="248" t="str">
        <f>CONCATENATE($D$19)</f>
        <v/>
      </c>
      <c r="D54" s="249">
        <f>SUM($E$19)</f>
        <v>0</v>
      </c>
      <c r="E54" s="250">
        <f>SUM(D54*$B$53)</f>
        <v>0</v>
      </c>
      <c r="F54" s="251">
        <f>SUM(D54*O54)</f>
        <v>0</v>
      </c>
      <c r="G54" s="252">
        <f>SUM(F54*10%)</f>
        <v>0</v>
      </c>
      <c r="H54" s="252">
        <f>SUM((F54+G54)*$I$29)</f>
        <v>0</v>
      </c>
      <c r="I54" s="252"/>
      <c r="J54" s="252">
        <f>SUM(F54+G54+H54+I54)</f>
        <v>0</v>
      </c>
      <c r="K54" s="63"/>
      <c r="L54" s="253" t="str">
        <f t="shared" si="17"/>
        <v/>
      </c>
      <c r="M54" s="218"/>
      <c r="O54" s="202">
        <f>LOOKUP(P54,'All State Rates '!G:G,'All State Rates '!F:F)</f>
        <v>0.1007</v>
      </c>
      <c r="P54" s="401" t="str">
        <f>CONCATENATE($U$62,"-",$B$53)</f>
        <v>BULLS-12M-Less 50-Loss of Use Accident &amp; Illness-0.15</v>
      </c>
      <c r="Q54" s="401"/>
      <c r="U54" s="162" t="str">
        <f t="shared" si="26"/>
        <v>BULLS-12M-Less 50-Loss of Use Accident &amp; Illness-0.25</v>
      </c>
      <c r="V54" s="149">
        <v>0.25</v>
      </c>
      <c r="W54" s="149" t="str">
        <f t="shared" si="27"/>
        <v>Yes</v>
      </c>
      <c r="X54" s="160">
        <f>LOOKUP(U54,'All State Rates '!G:G,'All State Rates '!F:F)</f>
        <v>8.8800000000000004E-2</v>
      </c>
      <c r="Z54" s="192"/>
      <c r="AA54" s="192"/>
      <c r="AB54" s="192"/>
    </row>
    <row r="55" spans="2:31" x14ac:dyDescent="0.3">
      <c r="B55" s="405"/>
      <c r="C55" s="248" t="str">
        <f>CONCATENATE($D$20)</f>
        <v/>
      </c>
      <c r="D55" s="249">
        <f>SUM($E$20)</f>
        <v>0</v>
      </c>
      <c r="E55" s="250">
        <f>SUM(D55*$B$53)</f>
        <v>0</v>
      </c>
      <c r="F55" s="251">
        <f t="shared" ref="F55:F58" si="28">SUM(D55*O55)</f>
        <v>0</v>
      </c>
      <c r="G55" s="252">
        <f t="shared" ref="G55:G58" si="29">SUM(F55*10%)</f>
        <v>0</v>
      </c>
      <c r="H55" s="252">
        <f t="shared" ref="H55:H58" si="30">SUM((F55+G55)*$I$29)</f>
        <v>0</v>
      </c>
      <c r="I55" s="252"/>
      <c r="J55" s="252">
        <f t="shared" ref="J55:J58" si="31">SUM(F55+G55+H55+I55)</f>
        <v>0</v>
      </c>
      <c r="K55" s="63"/>
      <c r="L55" s="253" t="str">
        <f t="shared" si="17"/>
        <v/>
      </c>
      <c r="M55" s="218"/>
      <c r="O55" s="202">
        <f>LOOKUP(P55,'All State Rates '!G:G,'All State Rates '!F:F)</f>
        <v>0.1007</v>
      </c>
      <c r="P55" s="401" t="str">
        <f>CONCATENATE($U$63,"-",$B$53)</f>
        <v>BULLS-12M-Less 50-Loss of Use Accident &amp; Illness-0.15</v>
      </c>
      <c r="Q55" s="401"/>
      <c r="U55" s="162" t="str">
        <f>CONCATENATE($U$45,"-",W44)</f>
        <v>BULLS-12M-More 50-Loss of Use Accident &amp; Illness-0</v>
      </c>
      <c r="V55" s="149">
        <v>0</v>
      </c>
      <c r="W55" s="149" t="str">
        <f t="shared" si="27"/>
        <v>No</v>
      </c>
      <c r="X55" s="160">
        <f>LOOKUP(U55,'All State Rates '!G:G,'All State Rates '!F:F)</f>
        <v>0.13159999999999999</v>
      </c>
      <c r="Z55" s="192"/>
      <c r="AA55" s="192"/>
      <c r="AB55" s="192"/>
    </row>
    <row r="56" spans="2:31" x14ac:dyDescent="0.3">
      <c r="B56" s="405"/>
      <c r="C56" s="248" t="str">
        <f>CONCATENATE($D$21)</f>
        <v/>
      </c>
      <c r="D56" s="249">
        <f>SUM($E$21)</f>
        <v>0</v>
      </c>
      <c r="E56" s="250">
        <f>SUM(D56*$B$53)</f>
        <v>0</v>
      </c>
      <c r="F56" s="251">
        <f t="shared" si="28"/>
        <v>0</v>
      </c>
      <c r="G56" s="252">
        <f t="shared" si="29"/>
        <v>0</v>
      </c>
      <c r="H56" s="252">
        <f t="shared" si="30"/>
        <v>0</v>
      </c>
      <c r="I56" s="252"/>
      <c r="J56" s="252">
        <f t="shared" si="31"/>
        <v>0</v>
      </c>
      <c r="K56" s="63"/>
      <c r="L56" s="253" t="str">
        <f t="shared" si="17"/>
        <v/>
      </c>
      <c r="M56" s="218"/>
      <c r="O56" s="202">
        <f>LOOKUP(P56,'All State Rates '!G:G,'All State Rates '!F:F)</f>
        <v>0.1007</v>
      </c>
      <c r="P56" s="401" t="str">
        <f>CONCATENATE($U$64,"-",$B$53)</f>
        <v>BULLS-12M-Less 50-Loss of Use Accident &amp; Illness-0.15</v>
      </c>
      <c r="Q56" s="401"/>
      <c r="U56" s="162" t="str">
        <f t="shared" ref="U56:U59" si="32">CONCATENATE($U$45,"-",W45)</f>
        <v>BULLS-12M-More 50-Loss of Use Accident &amp; Illness-0.1</v>
      </c>
      <c r="V56" s="149">
        <v>0.1</v>
      </c>
      <c r="W56" s="149" t="str">
        <f t="shared" si="27"/>
        <v>Yes</v>
      </c>
      <c r="X56" s="160">
        <f>LOOKUP(U56,'All State Rates '!G:G,'All State Rates '!F:F)</f>
        <v>0.11849999999999999</v>
      </c>
      <c r="Z56" s="192"/>
      <c r="AA56" s="192"/>
      <c r="AB56" s="192"/>
    </row>
    <row r="57" spans="2:31" x14ac:dyDescent="0.3">
      <c r="B57" s="405"/>
      <c r="C57" s="248" t="str">
        <f>CONCATENATE($D$22)</f>
        <v/>
      </c>
      <c r="D57" s="249">
        <f>SUM($E$22)</f>
        <v>0</v>
      </c>
      <c r="E57" s="250">
        <f>SUM(D57*$B$53)</f>
        <v>0</v>
      </c>
      <c r="F57" s="251">
        <f t="shared" si="28"/>
        <v>0</v>
      </c>
      <c r="G57" s="252">
        <f t="shared" si="29"/>
        <v>0</v>
      </c>
      <c r="H57" s="252">
        <f t="shared" si="30"/>
        <v>0</v>
      </c>
      <c r="I57" s="252"/>
      <c r="J57" s="252">
        <f t="shared" si="31"/>
        <v>0</v>
      </c>
      <c r="K57" s="63"/>
      <c r="L57" s="253" t="str">
        <f t="shared" si="17"/>
        <v/>
      </c>
      <c r="M57" s="218"/>
      <c r="O57" s="202">
        <f>LOOKUP(P57,'All State Rates '!G:G,'All State Rates '!F:F)</f>
        <v>0.1007</v>
      </c>
      <c r="P57" s="401" t="str">
        <f>CONCATENATE($U$65,"-",$B$53)</f>
        <v>BULLS-12M-Less 50-Loss of Use Accident &amp; Illness-0.15</v>
      </c>
      <c r="Q57" s="401"/>
      <c r="U57" s="162" t="str">
        <f t="shared" si="32"/>
        <v>BULLS-12M-More 50-Loss of Use Accident &amp; Illness-0.15</v>
      </c>
      <c r="V57" s="149">
        <v>0.15</v>
      </c>
      <c r="W57" s="149" t="str">
        <f t="shared" si="27"/>
        <v>Yes</v>
      </c>
      <c r="X57" s="160">
        <f>LOOKUP(U57,'All State Rates '!G:G,'All State Rates '!F:F)</f>
        <v>0.1119</v>
      </c>
      <c r="Z57" s="192"/>
      <c r="AA57" s="192"/>
      <c r="AB57" s="192"/>
    </row>
    <row r="58" spans="2:31" ht="19.5" thickBot="1" x14ac:dyDescent="0.35">
      <c r="B58" s="405"/>
      <c r="C58" s="248" t="str">
        <f>CONCATENATE($D$23)</f>
        <v/>
      </c>
      <c r="D58" s="249">
        <f>SUM($E$23)</f>
        <v>0</v>
      </c>
      <c r="E58" s="250">
        <f>SUM(D58*$B$53)</f>
        <v>0</v>
      </c>
      <c r="F58" s="251">
        <f t="shared" si="28"/>
        <v>0</v>
      </c>
      <c r="G58" s="252">
        <f t="shared" si="29"/>
        <v>0</v>
      </c>
      <c r="H58" s="252">
        <f t="shared" si="30"/>
        <v>0</v>
      </c>
      <c r="I58" s="252"/>
      <c r="J58" s="252">
        <f t="shared" si="31"/>
        <v>0</v>
      </c>
      <c r="K58" s="63"/>
      <c r="L58" s="253" t="str">
        <f t="shared" si="17"/>
        <v/>
      </c>
      <c r="M58" s="218"/>
      <c r="O58" s="202">
        <f>LOOKUP(P58,'All State Rates '!G:G,'All State Rates '!F:F)</f>
        <v>0.1007</v>
      </c>
      <c r="P58" s="401" t="str">
        <f>CONCATENATE($U$66,"-",$B$53)</f>
        <v>BULLS-12M-Less 50-Loss of Use Accident &amp; Illness-0.15</v>
      </c>
      <c r="Q58" s="401"/>
      <c r="U58" s="162" t="str">
        <f t="shared" si="32"/>
        <v>BULLS-12M-More 50-Loss of Use Accident &amp; Illness-0.2</v>
      </c>
      <c r="V58" s="191">
        <v>0.2</v>
      </c>
      <c r="W58" s="149" t="str">
        <f t="shared" si="27"/>
        <v>Yes</v>
      </c>
      <c r="X58" s="160">
        <f>LOOKUP(U58,'All State Rates '!G:G,'All State Rates '!F:F)</f>
        <v>0.1053</v>
      </c>
      <c r="Z58" s="192"/>
      <c r="AA58" s="192"/>
      <c r="AB58" s="192"/>
    </row>
    <row r="59" spans="2:31" ht="27" thickBot="1" x14ac:dyDescent="0.45">
      <c r="B59" s="257"/>
      <c r="C59" s="73"/>
      <c r="D59" s="73"/>
      <c r="E59" s="69"/>
      <c r="F59" s="255">
        <f>SUM(F54:F58)</f>
        <v>0</v>
      </c>
      <c r="G59" s="255">
        <f t="shared" ref="G59:H59" si="33">SUM(G54:G58)</f>
        <v>0</v>
      </c>
      <c r="H59" s="255">
        <f t="shared" si="33"/>
        <v>0</v>
      </c>
      <c r="I59" s="255">
        <f>SUM($O$28)</f>
        <v>55</v>
      </c>
      <c r="J59" s="255">
        <f>SUM(F59:I59)</f>
        <v>55</v>
      </c>
      <c r="K59" s="63"/>
      <c r="L59" s="253"/>
      <c r="M59" s="218"/>
      <c r="U59" s="162" t="str">
        <f t="shared" si="32"/>
        <v>BULLS-12M-More 50-Loss of Use Accident &amp; Illness-0.25</v>
      </c>
      <c r="V59" s="149">
        <v>0.25</v>
      </c>
      <c r="W59" s="149" t="str">
        <f t="shared" si="27"/>
        <v>Yes</v>
      </c>
      <c r="X59" s="160">
        <f>LOOKUP(U59,'All State Rates '!G:G,'All State Rates '!F:F)</f>
        <v>9.8699999999999996E-2</v>
      </c>
      <c r="Z59" s="192"/>
      <c r="AA59" s="192"/>
      <c r="AB59" s="192"/>
    </row>
    <row r="60" spans="2:31" ht="18.75" customHeight="1" x14ac:dyDescent="0.4">
      <c r="B60" s="257"/>
      <c r="C60" s="63"/>
      <c r="D60" s="63"/>
      <c r="E60" s="69"/>
      <c r="F60" s="63"/>
      <c r="G60" s="63"/>
      <c r="H60" s="63"/>
      <c r="I60" s="63"/>
      <c r="J60" s="63"/>
      <c r="K60" s="63"/>
      <c r="L60" s="253" t="str">
        <f t="shared" si="17"/>
        <v/>
      </c>
      <c r="M60" s="218"/>
      <c r="AA60" s="192"/>
    </row>
    <row r="61" spans="2:31" x14ac:dyDescent="0.3">
      <c r="B61" s="405">
        <v>0.2</v>
      </c>
      <c r="C61" s="72" t="s">
        <v>250</v>
      </c>
      <c r="D61" s="71" t="s">
        <v>17</v>
      </c>
      <c r="E61" s="71" t="s">
        <v>37</v>
      </c>
      <c r="F61" s="245" t="s">
        <v>18</v>
      </c>
      <c r="G61" s="246" t="s">
        <v>33</v>
      </c>
      <c r="H61" s="72" t="s">
        <v>374</v>
      </c>
      <c r="I61" s="72" t="s">
        <v>413</v>
      </c>
      <c r="J61" s="245" t="s">
        <v>375</v>
      </c>
      <c r="K61" s="63"/>
      <c r="L61" s="253"/>
      <c r="M61" s="218"/>
    </row>
    <row r="62" spans="2:31" x14ac:dyDescent="0.3">
      <c r="B62" s="405"/>
      <c r="C62" s="248" t="str">
        <f>CONCATENATE($D$19)</f>
        <v/>
      </c>
      <c r="D62" s="249">
        <f>SUM($E$19)</f>
        <v>0</v>
      </c>
      <c r="E62" s="250">
        <f>SUM(D62*$B$61)</f>
        <v>0</v>
      </c>
      <c r="F62" s="251">
        <f>SUM(D62*O62)</f>
        <v>0</v>
      </c>
      <c r="G62" s="252">
        <f>SUM(F62*10%)</f>
        <v>0</v>
      </c>
      <c r="H62" s="252">
        <f>SUM((F62+G62)*$I$29)</f>
        <v>0</v>
      </c>
      <c r="I62" s="252"/>
      <c r="J62" s="252">
        <f>SUM(F62+G62+H62+I62)</f>
        <v>0</v>
      </c>
      <c r="K62" s="63"/>
      <c r="L62" s="253" t="str">
        <f t="shared" si="17"/>
        <v/>
      </c>
      <c r="M62" s="218"/>
      <c r="O62" s="202">
        <f>LOOKUP(P62,'All State Rates '!G:G,'All State Rates '!F:F)</f>
        <v>9.4799999999999995E-2</v>
      </c>
      <c r="P62" s="401" t="str">
        <f>CONCATENATE($U$62,"-",$B$61)</f>
        <v>BULLS-12M-Less 50-Loss of Use Accident &amp; Illness-0.2</v>
      </c>
      <c r="Q62" s="401"/>
      <c r="U62" s="149" t="str">
        <f>CONCATENATE($F$6,"-",$V$8,"-",S19,"-",$F$7)</f>
        <v>BULLS-12M-Less 50-Loss of Use Accident &amp; Illness</v>
      </c>
    </row>
    <row r="63" spans="2:31" x14ac:dyDescent="0.3">
      <c r="B63" s="405"/>
      <c r="C63" s="248" t="str">
        <f>CONCATENATE($D$20)</f>
        <v/>
      </c>
      <c r="D63" s="249">
        <f>SUM($E$20)</f>
        <v>0</v>
      </c>
      <c r="E63" s="250">
        <f>SUM(D63*$B$61)</f>
        <v>0</v>
      </c>
      <c r="F63" s="251">
        <f t="shared" ref="F63:F66" si="34">SUM(D63*O63)</f>
        <v>0</v>
      </c>
      <c r="G63" s="252">
        <f t="shared" ref="G63:G66" si="35">SUM(F63*10%)</f>
        <v>0</v>
      </c>
      <c r="H63" s="252">
        <f t="shared" ref="H63:H66" si="36">SUM((F63+G63)*$I$29)</f>
        <v>0</v>
      </c>
      <c r="I63" s="252"/>
      <c r="J63" s="252">
        <f t="shared" ref="J63:J66" si="37">SUM(F63+G63+H63+I63)</f>
        <v>0</v>
      </c>
      <c r="K63" s="63"/>
      <c r="L63" s="253" t="str">
        <f t="shared" si="17"/>
        <v/>
      </c>
      <c r="M63" s="218"/>
      <c r="O63" s="202">
        <f>LOOKUP(P63,'All State Rates '!G:G,'All State Rates '!F:F)</f>
        <v>9.4799999999999995E-2</v>
      </c>
      <c r="P63" s="401" t="str">
        <f>CONCATENATE($U$63,"-",$B$61)</f>
        <v>BULLS-12M-Less 50-Loss of Use Accident &amp; Illness-0.2</v>
      </c>
      <c r="Q63" s="401"/>
      <c r="U63" s="149" t="str">
        <f t="shared" ref="U63:U66" si="38">CONCATENATE($F$6,"-",$V$8,"-",S20,"-",$F$7)</f>
        <v>BULLS-12M-Less 50-Loss of Use Accident &amp; Illness</v>
      </c>
      <c r="AD63" s="149"/>
      <c r="AE63" s="149"/>
    </row>
    <row r="64" spans="2:31" x14ac:dyDescent="0.3">
      <c r="B64" s="405"/>
      <c r="C64" s="248" t="str">
        <f>CONCATENATE($D$21)</f>
        <v/>
      </c>
      <c r="D64" s="249">
        <f>SUM($E$21)</f>
        <v>0</v>
      </c>
      <c r="E64" s="250">
        <f>SUM(D64*$B$61)</f>
        <v>0</v>
      </c>
      <c r="F64" s="251">
        <f t="shared" si="34"/>
        <v>0</v>
      </c>
      <c r="G64" s="252">
        <f t="shared" si="35"/>
        <v>0</v>
      </c>
      <c r="H64" s="252">
        <f t="shared" si="36"/>
        <v>0</v>
      </c>
      <c r="I64" s="252"/>
      <c r="J64" s="252">
        <f t="shared" si="37"/>
        <v>0</v>
      </c>
      <c r="K64" s="63"/>
      <c r="L64" s="253" t="str">
        <f t="shared" si="17"/>
        <v/>
      </c>
      <c r="M64" s="218"/>
      <c r="O64" s="202">
        <f>LOOKUP(P64,'All State Rates '!G:G,'All State Rates '!F:F)</f>
        <v>9.4799999999999995E-2</v>
      </c>
      <c r="P64" s="401" t="str">
        <f>CONCATENATE($U$64,"-",$B$61)</f>
        <v>BULLS-12M-Less 50-Loss of Use Accident &amp; Illness-0.2</v>
      </c>
      <c r="Q64" s="401"/>
      <c r="U64" s="149" t="str">
        <f t="shared" si="38"/>
        <v>BULLS-12M-Less 50-Loss of Use Accident &amp; Illness</v>
      </c>
      <c r="V64" s="193"/>
      <c r="W64" s="194"/>
      <c r="X64" s="194"/>
      <c r="Y64" s="195"/>
      <c r="Z64" s="196"/>
      <c r="AA64" s="193"/>
      <c r="AB64" s="193"/>
      <c r="AC64" s="195"/>
      <c r="AD64" s="149"/>
      <c r="AE64" s="149"/>
    </row>
    <row r="65" spans="2:31" x14ac:dyDescent="0.3">
      <c r="B65" s="405"/>
      <c r="C65" s="248" t="str">
        <f>CONCATENATE($D$22)</f>
        <v/>
      </c>
      <c r="D65" s="249">
        <f>SUM($E$22)</f>
        <v>0</v>
      </c>
      <c r="E65" s="250">
        <f>SUM(D65*$B$61)</f>
        <v>0</v>
      </c>
      <c r="F65" s="251">
        <f t="shared" si="34"/>
        <v>0</v>
      </c>
      <c r="G65" s="252">
        <f t="shared" si="35"/>
        <v>0</v>
      </c>
      <c r="H65" s="252">
        <f t="shared" si="36"/>
        <v>0</v>
      </c>
      <c r="I65" s="252"/>
      <c r="J65" s="252">
        <f t="shared" si="37"/>
        <v>0</v>
      </c>
      <c r="K65" s="63"/>
      <c r="L65" s="253" t="str">
        <f t="shared" si="17"/>
        <v/>
      </c>
      <c r="M65" s="218"/>
      <c r="O65" s="202">
        <f>LOOKUP(P65,'All State Rates '!G:G,'All State Rates '!F:F)</f>
        <v>9.4799999999999995E-2</v>
      </c>
      <c r="P65" s="401" t="str">
        <f>CONCATENATE($U$65,"-",$B$61)</f>
        <v>BULLS-12M-Less 50-Loss of Use Accident &amp; Illness-0.2</v>
      </c>
      <c r="Q65" s="401"/>
      <c r="U65" s="149" t="str">
        <f t="shared" si="38"/>
        <v>BULLS-12M-Less 50-Loss of Use Accident &amp; Illness</v>
      </c>
      <c r="V65" s="200"/>
      <c r="W65" s="201"/>
      <c r="X65" s="197"/>
      <c r="Y65" s="198"/>
      <c r="Z65" s="199"/>
      <c r="AA65" s="199"/>
      <c r="AB65" s="199"/>
      <c r="AC65" s="199"/>
      <c r="AD65" s="149"/>
      <c r="AE65" s="149"/>
    </row>
    <row r="66" spans="2:31" ht="19.5" thickBot="1" x14ac:dyDescent="0.35">
      <c r="B66" s="405"/>
      <c r="C66" s="248" t="str">
        <f>CONCATENATE($D$23)</f>
        <v/>
      </c>
      <c r="D66" s="249">
        <f>SUM($E$23)</f>
        <v>0</v>
      </c>
      <c r="E66" s="250">
        <f>SUM(D66*$B$61)</f>
        <v>0</v>
      </c>
      <c r="F66" s="251">
        <f t="shared" si="34"/>
        <v>0</v>
      </c>
      <c r="G66" s="252">
        <f t="shared" si="35"/>
        <v>0</v>
      </c>
      <c r="H66" s="252">
        <f t="shared" si="36"/>
        <v>0</v>
      </c>
      <c r="I66" s="252"/>
      <c r="J66" s="252">
        <f t="shared" si="37"/>
        <v>0</v>
      </c>
      <c r="K66" s="63"/>
      <c r="L66" s="253" t="str">
        <f t="shared" si="17"/>
        <v/>
      </c>
      <c r="M66" s="218"/>
      <c r="O66" s="202">
        <f>LOOKUP(P66,'All State Rates '!G:G,'All State Rates '!F:F)</f>
        <v>9.4799999999999995E-2</v>
      </c>
      <c r="P66" s="401" t="str">
        <f>CONCATENATE($U$66,"-",$B$61)</f>
        <v>BULLS-12M-Less 50-Loss of Use Accident &amp; Illness-0.2</v>
      </c>
      <c r="Q66" s="401"/>
      <c r="U66" s="149" t="str">
        <f t="shared" si="38"/>
        <v>BULLS-12M-Less 50-Loss of Use Accident &amp; Illness</v>
      </c>
      <c r="V66" s="200"/>
      <c r="W66" s="201"/>
      <c r="X66" s="197"/>
      <c r="Y66" s="198"/>
      <c r="Z66" s="199"/>
      <c r="AA66" s="199"/>
      <c r="AB66" s="199"/>
      <c r="AC66" s="199"/>
      <c r="AD66" s="149"/>
      <c r="AE66" s="149"/>
    </row>
    <row r="67" spans="2:31" ht="27" thickBot="1" x14ac:dyDescent="0.45">
      <c r="B67" s="257"/>
      <c r="C67" s="73"/>
      <c r="D67" s="73"/>
      <c r="E67" s="69"/>
      <c r="F67" s="255">
        <f>SUM(F62:F66)</f>
        <v>0</v>
      </c>
      <c r="G67" s="255">
        <f t="shared" ref="G67:H67" si="39">SUM(G62:G66)</f>
        <v>0</v>
      </c>
      <c r="H67" s="255">
        <f t="shared" si="39"/>
        <v>0</v>
      </c>
      <c r="I67" s="255">
        <f>SUM($O$28)</f>
        <v>55</v>
      </c>
      <c r="J67" s="255">
        <f>SUM(F67:I67)</f>
        <v>55</v>
      </c>
      <c r="K67" s="63"/>
      <c r="L67" s="253"/>
      <c r="M67" s="218"/>
      <c r="V67" s="200"/>
      <c r="W67" s="201"/>
      <c r="X67" s="197"/>
      <c r="Y67" s="198"/>
      <c r="Z67" s="199"/>
      <c r="AA67" s="199"/>
      <c r="AB67" s="199"/>
      <c r="AC67" s="199"/>
      <c r="AD67" s="149"/>
      <c r="AE67" s="149"/>
    </row>
    <row r="68" spans="2:31" ht="20.25" customHeight="1" x14ac:dyDescent="0.4">
      <c r="B68" s="257"/>
      <c r="C68" s="63"/>
      <c r="D68" s="63"/>
      <c r="E68" s="69"/>
      <c r="F68" s="63"/>
      <c r="G68" s="63"/>
      <c r="H68" s="63"/>
      <c r="I68" s="63"/>
      <c r="J68" s="63"/>
      <c r="K68" s="63"/>
      <c r="L68" s="253" t="str">
        <f t="shared" si="17"/>
        <v/>
      </c>
      <c r="M68" s="218"/>
      <c r="V68" s="200"/>
      <c r="W68" s="201"/>
      <c r="X68" s="197"/>
      <c r="Y68" s="198"/>
      <c r="Z68" s="199"/>
      <c r="AA68" s="199"/>
      <c r="AB68" s="199"/>
      <c r="AC68" s="199"/>
      <c r="AD68" s="149"/>
      <c r="AE68" s="149"/>
    </row>
    <row r="69" spans="2:31" x14ac:dyDescent="0.3">
      <c r="B69" s="405">
        <v>0.25</v>
      </c>
      <c r="C69" s="72" t="s">
        <v>250</v>
      </c>
      <c r="D69" s="71" t="s">
        <v>17</v>
      </c>
      <c r="E69" s="71" t="s">
        <v>37</v>
      </c>
      <c r="F69" s="245" t="s">
        <v>18</v>
      </c>
      <c r="G69" s="246" t="s">
        <v>33</v>
      </c>
      <c r="H69" s="72" t="s">
        <v>374</v>
      </c>
      <c r="I69" s="72" t="s">
        <v>413</v>
      </c>
      <c r="J69" s="245" t="s">
        <v>375</v>
      </c>
      <c r="K69" s="63"/>
      <c r="L69" s="253"/>
      <c r="M69" s="218"/>
      <c r="V69" s="200"/>
      <c r="W69" s="201"/>
      <c r="X69" s="197"/>
      <c r="Y69" s="198"/>
      <c r="Z69" s="199"/>
      <c r="AA69" s="199"/>
      <c r="AB69" s="199"/>
      <c r="AC69" s="199"/>
      <c r="AD69" s="149"/>
      <c r="AE69" s="149"/>
    </row>
    <row r="70" spans="2:31" x14ac:dyDescent="0.3">
      <c r="B70" s="405"/>
      <c r="C70" s="248" t="str">
        <f>CONCATENATE($D$19)</f>
        <v/>
      </c>
      <c r="D70" s="249">
        <f>SUM($E$19)</f>
        <v>0</v>
      </c>
      <c r="E70" s="250">
        <f>SUM(D70*$B$69)</f>
        <v>0</v>
      </c>
      <c r="F70" s="251">
        <f>SUM(D70*O70)</f>
        <v>0</v>
      </c>
      <c r="G70" s="252">
        <f>SUM(F70*10%)</f>
        <v>0</v>
      </c>
      <c r="H70" s="252">
        <f>SUM((F70+G70)*$I$29)</f>
        <v>0</v>
      </c>
      <c r="I70" s="252"/>
      <c r="J70" s="252">
        <f>SUM(F70+G70+H70+I70)</f>
        <v>0</v>
      </c>
      <c r="K70" s="63"/>
      <c r="L70" s="253" t="str">
        <f t="shared" si="17"/>
        <v/>
      </c>
      <c r="M70" s="218"/>
      <c r="O70" s="202">
        <f>LOOKUP(P70,'All State Rates '!G:G,'All State Rates '!F:F)</f>
        <v>8.8800000000000004E-2</v>
      </c>
      <c r="P70" s="401" t="str">
        <f>CONCATENATE($U$62,"-",$B$69)</f>
        <v>BULLS-12M-Less 50-Loss of Use Accident &amp; Illness-0.25</v>
      </c>
      <c r="Q70" s="401"/>
      <c r="AD70" s="149"/>
      <c r="AE70" s="149"/>
    </row>
    <row r="71" spans="2:31" x14ac:dyDescent="0.3">
      <c r="B71" s="405"/>
      <c r="C71" s="248" t="str">
        <f>CONCATENATE($D$20)</f>
        <v/>
      </c>
      <c r="D71" s="249">
        <f>SUM($E$20)</f>
        <v>0</v>
      </c>
      <c r="E71" s="250">
        <f>SUM(D71*$B$69)</f>
        <v>0</v>
      </c>
      <c r="F71" s="251">
        <f t="shared" ref="F71:F74" si="40">SUM(D71*O71)</f>
        <v>0</v>
      </c>
      <c r="G71" s="252">
        <f t="shared" ref="G71:G74" si="41">SUM(F71*10%)</f>
        <v>0</v>
      </c>
      <c r="H71" s="252">
        <f t="shared" ref="H71:H74" si="42">SUM((F71+G71)*$I$29)</f>
        <v>0</v>
      </c>
      <c r="I71" s="252"/>
      <c r="J71" s="252">
        <f t="shared" ref="J71:J74" si="43">SUM(F71+G71+H71+I71)</f>
        <v>0</v>
      </c>
      <c r="K71" s="63"/>
      <c r="L71" s="253" t="str">
        <f t="shared" si="17"/>
        <v/>
      </c>
      <c r="M71" s="218"/>
      <c r="O71" s="202">
        <f>LOOKUP(P71,'All State Rates '!G:G,'All State Rates '!F:F)</f>
        <v>8.8800000000000004E-2</v>
      </c>
      <c r="P71" s="401" t="str">
        <f>CONCATENATE($U$63,"-",$B$69)</f>
        <v>BULLS-12M-Less 50-Loss of Use Accident &amp; Illness-0.25</v>
      </c>
      <c r="Q71" s="401"/>
      <c r="AD71" s="149"/>
      <c r="AE71" s="149"/>
    </row>
    <row r="72" spans="2:31" x14ac:dyDescent="0.3">
      <c r="B72" s="405"/>
      <c r="C72" s="248" t="str">
        <f>CONCATENATE($D$21)</f>
        <v/>
      </c>
      <c r="D72" s="249">
        <f>SUM($E$21)</f>
        <v>0</v>
      </c>
      <c r="E72" s="250">
        <f>SUM(D72*$B$69)</f>
        <v>0</v>
      </c>
      <c r="F72" s="251">
        <f t="shared" si="40"/>
        <v>0</v>
      </c>
      <c r="G72" s="252">
        <f t="shared" si="41"/>
        <v>0</v>
      </c>
      <c r="H72" s="252">
        <f t="shared" si="42"/>
        <v>0</v>
      </c>
      <c r="I72" s="252"/>
      <c r="J72" s="252">
        <f t="shared" si="43"/>
        <v>0</v>
      </c>
      <c r="K72" s="63"/>
      <c r="L72" s="253" t="str">
        <f t="shared" si="17"/>
        <v/>
      </c>
      <c r="M72" s="218"/>
      <c r="O72" s="202">
        <f>LOOKUP(P72,'All State Rates '!G:G,'All State Rates '!F:F)</f>
        <v>8.8800000000000004E-2</v>
      </c>
      <c r="P72" s="401" t="str">
        <f>CONCATENATE($U$64,"-",$B$69)</f>
        <v>BULLS-12M-Less 50-Loss of Use Accident &amp; Illness-0.25</v>
      </c>
      <c r="Q72" s="401"/>
      <c r="AD72" s="149"/>
      <c r="AE72" s="149"/>
    </row>
    <row r="73" spans="2:31" x14ac:dyDescent="0.3">
      <c r="B73" s="405"/>
      <c r="C73" s="248" t="str">
        <f>CONCATENATE($D$22)</f>
        <v/>
      </c>
      <c r="D73" s="249">
        <f>SUM($E$22)</f>
        <v>0</v>
      </c>
      <c r="E73" s="250">
        <f>SUM(D73*$B$69)</f>
        <v>0</v>
      </c>
      <c r="F73" s="251">
        <f t="shared" si="40"/>
        <v>0</v>
      </c>
      <c r="G73" s="252">
        <f t="shared" si="41"/>
        <v>0</v>
      </c>
      <c r="H73" s="252">
        <f t="shared" si="42"/>
        <v>0</v>
      </c>
      <c r="I73" s="252"/>
      <c r="J73" s="252">
        <f t="shared" si="43"/>
        <v>0</v>
      </c>
      <c r="K73" s="63"/>
      <c r="L73" s="253" t="str">
        <f t="shared" si="17"/>
        <v/>
      </c>
      <c r="M73" s="218"/>
      <c r="O73" s="202">
        <f>LOOKUP(P73,'All State Rates '!G:G,'All State Rates '!F:F)</f>
        <v>8.8800000000000004E-2</v>
      </c>
      <c r="P73" s="401" t="str">
        <f>CONCATENATE($U$65,"-",$B$69)</f>
        <v>BULLS-12M-Less 50-Loss of Use Accident &amp; Illness-0.25</v>
      </c>
      <c r="Q73" s="401"/>
      <c r="AD73" s="149"/>
      <c r="AE73" s="149"/>
    </row>
    <row r="74" spans="2:31" ht="19.5" thickBot="1" x14ac:dyDescent="0.35">
      <c r="B74" s="405"/>
      <c r="C74" s="248" t="str">
        <f>CONCATENATE($D$23)</f>
        <v/>
      </c>
      <c r="D74" s="249">
        <f>SUM($E$23)</f>
        <v>0</v>
      </c>
      <c r="E74" s="250">
        <f>SUM(D74*$B$69)</f>
        <v>0</v>
      </c>
      <c r="F74" s="251">
        <f t="shared" si="40"/>
        <v>0</v>
      </c>
      <c r="G74" s="252">
        <f t="shared" si="41"/>
        <v>0</v>
      </c>
      <c r="H74" s="252">
        <f t="shared" si="42"/>
        <v>0</v>
      </c>
      <c r="I74" s="252"/>
      <c r="J74" s="252">
        <f t="shared" si="43"/>
        <v>0</v>
      </c>
      <c r="K74" s="63"/>
      <c r="L74" s="253" t="str">
        <f t="shared" si="17"/>
        <v/>
      </c>
      <c r="M74" s="218"/>
      <c r="O74" s="202">
        <f>LOOKUP(P74,'All State Rates '!G:G,'All State Rates '!F:F)</f>
        <v>8.8800000000000004E-2</v>
      </c>
      <c r="P74" s="401" t="str">
        <f>CONCATENATE($U$66,"-",$B$69)</f>
        <v>BULLS-12M-Less 50-Loss of Use Accident &amp; Illness-0.25</v>
      </c>
      <c r="Q74" s="401"/>
    </row>
    <row r="75" spans="2:31" ht="19.5" thickBot="1" x14ac:dyDescent="0.35">
      <c r="B75" s="65"/>
      <c r="C75" s="73"/>
      <c r="D75" s="73"/>
      <c r="E75" s="63"/>
      <c r="F75" s="255">
        <f>SUM(F70:F74)</f>
        <v>0</v>
      </c>
      <c r="G75" s="255">
        <f t="shared" ref="G75:H75" si="44">SUM(G70:G74)</f>
        <v>0</v>
      </c>
      <c r="H75" s="255">
        <f t="shared" si="44"/>
        <v>0</v>
      </c>
      <c r="I75" s="255">
        <f>SUM($O$28)</f>
        <v>55</v>
      </c>
      <c r="J75" s="255">
        <f>SUM(F75:I75)</f>
        <v>55</v>
      </c>
      <c r="K75" s="63"/>
      <c r="L75" s="258"/>
      <c r="M75" s="218"/>
    </row>
    <row r="76" spans="2:31" x14ac:dyDescent="0.3">
      <c r="B76" s="65"/>
      <c r="C76" s="63"/>
      <c r="D76" s="63"/>
      <c r="E76" s="63"/>
      <c r="F76" s="63"/>
      <c r="G76" s="63"/>
      <c r="H76" s="63"/>
      <c r="I76" s="63"/>
      <c r="J76" s="63"/>
      <c r="K76" s="63"/>
      <c r="L76" s="258"/>
      <c r="M76" s="218"/>
    </row>
    <row r="77" spans="2:31" ht="19.5" thickBot="1" x14ac:dyDescent="0.35">
      <c r="B77" s="259"/>
      <c r="C77" s="241"/>
      <c r="D77" s="241"/>
      <c r="E77" s="241"/>
      <c r="F77" s="241"/>
      <c r="G77" s="241"/>
      <c r="H77" s="241"/>
      <c r="I77" s="241"/>
      <c r="J77" s="241"/>
      <c r="K77" s="241"/>
      <c r="L77" s="241"/>
      <c r="M77" s="242"/>
    </row>
    <row r="78" spans="2:31" x14ac:dyDescent="0.3">
      <c r="B78" s="392" t="s">
        <v>405</v>
      </c>
      <c r="C78" s="393"/>
      <c r="D78" s="393"/>
      <c r="E78" s="243"/>
      <c r="F78" s="243"/>
      <c r="G78" s="243"/>
      <c r="H78" s="243"/>
      <c r="I78" s="243"/>
      <c r="J78" s="243"/>
      <c r="K78" s="243"/>
      <c r="L78" s="243"/>
      <c r="M78" s="244"/>
      <c r="Y78" s="149"/>
      <c r="Z78" s="150"/>
      <c r="AD78" s="149"/>
    </row>
    <row r="79" spans="2:31" x14ac:dyDescent="0.3">
      <c r="B79" s="394"/>
      <c r="C79" s="395"/>
      <c r="D79" s="395"/>
      <c r="E79" s="216"/>
      <c r="F79" s="216"/>
      <c r="G79" s="216"/>
      <c r="H79" s="216"/>
      <c r="I79" s="216"/>
      <c r="J79" s="216"/>
      <c r="K79" s="216"/>
      <c r="L79" s="216"/>
      <c r="M79" s="218"/>
      <c r="Y79" s="149"/>
      <c r="Z79" s="150"/>
      <c r="AD79" s="149"/>
    </row>
    <row r="80" spans="2:31" ht="19.5" thickBot="1" x14ac:dyDescent="0.35">
      <c r="B80" s="215"/>
      <c r="C80" s="216"/>
      <c r="D80" s="216"/>
      <c r="E80" s="216"/>
      <c r="F80" s="216"/>
      <c r="G80" s="216"/>
      <c r="H80" s="216"/>
      <c r="I80" s="216"/>
      <c r="J80" s="216"/>
      <c r="K80" s="216"/>
      <c r="L80" s="216"/>
      <c r="M80" s="218"/>
      <c r="Y80" s="149"/>
      <c r="Z80" s="150"/>
      <c r="AD80" s="149"/>
    </row>
    <row r="81" spans="2:30" ht="19.5" thickBot="1" x14ac:dyDescent="0.35">
      <c r="B81" s="224" t="s">
        <v>261</v>
      </c>
      <c r="C81" s="317" t="s">
        <v>434</v>
      </c>
      <c r="D81" s="318"/>
      <c r="E81" s="318"/>
      <c r="F81" s="319"/>
      <c r="G81" s="260"/>
      <c r="H81" s="260"/>
      <c r="I81" s="260"/>
      <c r="J81" s="260"/>
      <c r="K81" s="260"/>
      <c r="L81" s="260"/>
      <c r="M81" s="218"/>
      <c r="Y81" s="149"/>
      <c r="Z81" s="150"/>
      <c r="AD81" s="149"/>
    </row>
    <row r="82" spans="2:30" ht="19.5" thickBot="1" x14ac:dyDescent="0.35">
      <c r="B82" s="215"/>
      <c r="C82" s="260"/>
      <c r="D82" s="260"/>
      <c r="E82" s="260"/>
      <c r="F82" s="260"/>
      <c r="G82" s="260"/>
      <c r="H82" s="260"/>
      <c r="I82" s="260"/>
      <c r="J82" s="260"/>
      <c r="K82" s="260"/>
      <c r="L82" s="260"/>
      <c r="M82" s="218"/>
      <c r="Y82" s="149"/>
      <c r="Z82" s="150"/>
      <c r="AD82" s="149"/>
    </row>
    <row r="83" spans="2:30" ht="19.5" thickBot="1" x14ac:dyDescent="0.35">
      <c r="B83" s="224" t="s">
        <v>388</v>
      </c>
      <c r="C83" s="317"/>
      <c r="D83" s="318"/>
      <c r="E83" s="318"/>
      <c r="F83" s="319"/>
      <c r="G83" s="260"/>
      <c r="H83" s="260"/>
      <c r="I83" s="260"/>
      <c r="J83" s="260"/>
      <c r="K83" s="260"/>
      <c r="L83" s="260"/>
      <c r="M83" s="218"/>
      <c r="Y83" s="149"/>
      <c r="Z83" s="150"/>
      <c r="AD83" s="149"/>
    </row>
    <row r="84" spans="2:30" ht="19.5" thickBot="1" x14ac:dyDescent="0.35">
      <c r="B84" s="215"/>
      <c r="C84" s="260"/>
      <c r="D84" s="260"/>
      <c r="E84" s="260"/>
      <c r="F84" s="260"/>
      <c r="G84" s="260"/>
      <c r="H84" s="260"/>
      <c r="I84" s="260"/>
      <c r="J84" s="260"/>
      <c r="K84" s="260"/>
      <c r="L84" s="260"/>
      <c r="M84" s="218"/>
      <c r="Y84" s="149"/>
      <c r="Z84" s="150"/>
      <c r="AD84" s="149"/>
    </row>
    <row r="85" spans="2:30" ht="19.5" thickBot="1" x14ac:dyDescent="0.35">
      <c r="B85" s="224" t="s">
        <v>38</v>
      </c>
      <c r="C85" s="317"/>
      <c r="D85" s="318"/>
      <c r="E85" s="318"/>
      <c r="F85" s="319"/>
      <c r="G85" s="260"/>
      <c r="H85" s="219" t="s">
        <v>254</v>
      </c>
      <c r="I85" s="317"/>
      <c r="J85" s="319"/>
      <c r="K85" s="260"/>
      <c r="L85" s="260"/>
      <c r="M85" s="218"/>
      <c r="Y85" s="149"/>
      <c r="Z85" s="150"/>
      <c r="AD85" s="149"/>
    </row>
    <row r="86" spans="2:30" ht="19.5" thickBot="1" x14ac:dyDescent="0.35">
      <c r="B86" s="261" t="s">
        <v>404</v>
      </c>
      <c r="C86" s="317"/>
      <c r="D86" s="318"/>
      <c r="E86" s="318"/>
      <c r="F86" s="319"/>
      <c r="G86" s="260"/>
      <c r="H86" s="219"/>
      <c r="I86" s="260"/>
      <c r="J86" s="260"/>
      <c r="K86" s="260"/>
      <c r="L86" s="260"/>
      <c r="M86" s="218"/>
      <c r="Y86" s="149"/>
      <c r="Z86" s="150"/>
      <c r="AD86" s="149"/>
    </row>
    <row r="87" spans="2:30" ht="19.5" thickBot="1" x14ac:dyDescent="0.35">
      <c r="B87" s="224"/>
      <c r="C87" s="260"/>
      <c r="D87" s="260"/>
      <c r="E87" s="260"/>
      <c r="F87" s="260"/>
      <c r="G87" s="260"/>
      <c r="H87" s="219"/>
      <c r="I87" s="260"/>
      <c r="J87" s="260"/>
      <c r="K87" s="262"/>
      <c r="L87" s="262"/>
      <c r="M87" s="218"/>
      <c r="Y87" s="149"/>
      <c r="Z87" s="150"/>
      <c r="AD87" s="149"/>
    </row>
    <row r="88" spans="2:30" ht="19.5" thickBot="1" x14ac:dyDescent="0.35">
      <c r="B88" s="224" t="s">
        <v>40</v>
      </c>
      <c r="C88" s="352"/>
      <c r="D88" s="353"/>
      <c r="E88" s="353"/>
      <c r="F88" s="354"/>
      <c r="G88" s="260"/>
      <c r="H88" s="219" t="s">
        <v>255</v>
      </c>
      <c r="I88" s="317"/>
      <c r="J88" s="318"/>
      <c r="K88" s="318"/>
      <c r="L88" s="319"/>
      <c r="M88" s="218"/>
      <c r="Y88" s="149"/>
      <c r="Z88" s="150"/>
      <c r="AD88" s="149"/>
    </row>
    <row r="89" spans="2:30" ht="19.5" thickBot="1" x14ac:dyDescent="0.35">
      <c r="B89" s="261"/>
      <c r="C89" s="352"/>
      <c r="D89" s="353"/>
      <c r="E89" s="353"/>
      <c r="F89" s="354"/>
      <c r="G89" s="260"/>
      <c r="H89" s="219" t="s">
        <v>256</v>
      </c>
      <c r="I89" s="317"/>
      <c r="J89" s="318"/>
      <c r="K89" s="318"/>
      <c r="L89" s="319"/>
      <c r="M89" s="218"/>
      <c r="Y89" s="149"/>
      <c r="Z89" s="150"/>
      <c r="AD89" s="149"/>
    </row>
    <row r="90" spans="2:30" ht="19.5" thickBot="1" x14ac:dyDescent="0.35">
      <c r="B90" s="224"/>
      <c r="C90" s="260"/>
      <c r="D90" s="260"/>
      <c r="E90" s="260"/>
      <c r="F90" s="260"/>
      <c r="G90" s="260"/>
      <c r="H90" s="219"/>
      <c r="I90" s="260"/>
      <c r="J90" s="260"/>
      <c r="K90" s="262"/>
      <c r="L90" s="262"/>
      <c r="M90" s="218"/>
      <c r="Y90" s="149"/>
      <c r="Z90" s="150"/>
      <c r="AD90" s="149"/>
    </row>
    <row r="91" spans="2:30" ht="19.5" thickBot="1" x14ac:dyDescent="0.35">
      <c r="B91" s="224" t="s">
        <v>75</v>
      </c>
      <c r="C91" s="352"/>
      <c r="D91" s="353"/>
      <c r="E91" s="353"/>
      <c r="F91" s="354"/>
      <c r="G91" s="260"/>
      <c r="H91" s="219" t="s">
        <v>257</v>
      </c>
      <c r="I91" s="355"/>
      <c r="J91" s="356"/>
      <c r="K91" s="356"/>
      <c r="L91" s="357"/>
      <c r="M91" s="218"/>
      <c r="Y91" s="149"/>
      <c r="Z91" s="150"/>
      <c r="AD91" s="149"/>
    </row>
    <row r="92" spans="2:30" ht="19.5" thickBot="1" x14ac:dyDescent="0.35">
      <c r="B92" s="224"/>
      <c r="C92" s="260"/>
      <c r="D92" s="260"/>
      <c r="E92" s="260"/>
      <c r="F92" s="260"/>
      <c r="G92" s="260"/>
      <c r="H92" s="260"/>
      <c r="I92" s="260"/>
      <c r="J92" s="260"/>
      <c r="K92" s="260"/>
      <c r="L92" s="260"/>
      <c r="M92" s="218"/>
      <c r="Y92" s="149"/>
      <c r="Z92" s="150"/>
      <c r="AD92" s="149"/>
    </row>
    <row r="93" spans="2:30" ht="19.5" thickBot="1" x14ac:dyDescent="0.35">
      <c r="B93" s="224" t="s">
        <v>258</v>
      </c>
      <c r="C93" s="362" t="s">
        <v>435</v>
      </c>
      <c r="D93" s="363"/>
      <c r="E93" s="363"/>
      <c r="F93" s="364"/>
      <c r="G93" s="260"/>
      <c r="H93" s="260"/>
      <c r="I93" s="260"/>
      <c r="J93" s="260"/>
      <c r="K93" s="260"/>
      <c r="L93" s="260"/>
      <c r="M93" s="218"/>
      <c r="Y93" s="149"/>
      <c r="Z93" s="150"/>
      <c r="AD93" s="149"/>
    </row>
    <row r="94" spans="2:30" x14ac:dyDescent="0.3">
      <c r="B94" s="215"/>
      <c r="C94" s="216"/>
      <c r="D94" s="216"/>
      <c r="E94" s="216"/>
      <c r="F94" s="216"/>
      <c r="G94" s="216"/>
      <c r="H94" s="216"/>
      <c r="I94" s="216"/>
      <c r="J94" s="216"/>
      <c r="K94" s="217"/>
      <c r="L94" s="217"/>
      <c r="M94" s="218"/>
      <c r="Y94" s="149"/>
      <c r="Z94" s="150"/>
      <c r="AD94" s="149"/>
    </row>
    <row r="95" spans="2:30" x14ac:dyDescent="0.3">
      <c r="B95" s="220" t="s">
        <v>22</v>
      </c>
      <c r="C95" s="221"/>
      <c r="D95" s="221"/>
      <c r="E95" s="216"/>
      <c r="F95" s="216"/>
      <c r="G95" s="216"/>
      <c r="H95" s="216"/>
      <c r="I95" s="216"/>
      <c r="J95" s="216"/>
      <c r="K95" s="216"/>
      <c r="L95" s="216"/>
      <c r="M95" s="218"/>
      <c r="Y95" s="149"/>
      <c r="Z95" s="150"/>
      <c r="AD95" s="149"/>
    </row>
    <row r="96" spans="2:30" x14ac:dyDescent="0.3">
      <c r="B96" s="224" t="s">
        <v>396</v>
      </c>
      <c r="C96" s="216"/>
      <c r="D96" s="216"/>
      <c r="E96" s="216"/>
      <c r="F96" s="216"/>
      <c r="G96" s="216"/>
      <c r="H96" s="216"/>
      <c r="I96" s="216"/>
      <c r="J96" s="216"/>
      <c r="K96" s="216"/>
      <c r="L96" s="216"/>
      <c r="M96" s="218"/>
      <c r="Y96" s="149"/>
      <c r="Z96" s="150"/>
      <c r="AD96" s="149"/>
    </row>
    <row r="97" spans="2:30" ht="19.5" thickBot="1" x14ac:dyDescent="0.35">
      <c r="B97" s="224"/>
      <c r="C97" s="216"/>
      <c r="D97" s="216"/>
      <c r="E97" s="216"/>
      <c r="F97" s="216"/>
      <c r="G97" s="216"/>
      <c r="H97" s="216"/>
      <c r="I97" s="216"/>
      <c r="J97" s="216"/>
      <c r="K97" s="216"/>
      <c r="L97" s="216"/>
      <c r="M97" s="218"/>
      <c r="Y97" s="149"/>
      <c r="Z97" s="150"/>
      <c r="AD97" s="149"/>
    </row>
    <row r="98" spans="2:30" ht="19.5" thickBot="1" x14ac:dyDescent="0.35">
      <c r="B98" s="224" t="s">
        <v>397</v>
      </c>
      <c r="C98" s="216"/>
      <c r="D98" s="216"/>
      <c r="E98" s="216"/>
      <c r="F98" s="216"/>
      <c r="G98" s="216"/>
      <c r="H98" s="216"/>
      <c r="I98" s="209" t="s">
        <v>21</v>
      </c>
      <c r="J98" s="400" t="str">
        <f>IF(I98="YES","Refer to RMA Insurance Brokers","")</f>
        <v/>
      </c>
      <c r="K98" s="361"/>
      <c r="L98" s="216"/>
      <c r="M98" s="218"/>
      <c r="Y98" s="149"/>
      <c r="Z98" s="150"/>
      <c r="AD98" s="149"/>
    </row>
    <row r="99" spans="2:30" x14ac:dyDescent="0.3">
      <c r="B99" s="224" t="s">
        <v>398</v>
      </c>
      <c r="C99" s="216"/>
      <c r="D99" s="216"/>
      <c r="E99" s="216"/>
      <c r="F99" s="216"/>
      <c r="G99" s="216"/>
      <c r="H99" s="216"/>
      <c r="I99" s="263"/>
      <c r="J99" s="216"/>
      <c r="K99" s="216"/>
      <c r="L99" s="216"/>
      <c r="M99" s="218"/>
      <c r="Y99" s="149"/>
      <c r="Z99" s="150"/>
      <c r="AD99" s="149"/>
    </row>
    <row r="100" spans="2:30" x14ac:dyDescent="0.3">
      <c r="B100" s="224" t="s">
        <v>399</v>
      </c>
      <c r="C100" s="216"/>
      <c r="D100" s="216"/>
      <c r="E100" s="216"/>
      <c r="F100" s="216"/>
      <c r="G100" s="216"/>
      <c r="H100" s="216"/>
      <c r="I100" s="263"/>
      <c r="J100" s="216"/>
      <c r="K100" s="216"/>
      <c r="L100" s="216"/>
      <c r="M100" s="218"/>
      <c r="Y100" s="149"/>
      <c r="Z100" s="150"/>
      <c r="AD100" s="149"/>
    </row>
    <row r="101" spans="2:30" x14ac:dyDescent="0.3">
      <c r="B101" s="224"/>
      <c r="C101" s="216"/>
      <c r="D101" s="216"/>
      <c r="E101" s="216"/>
      <c r="F101" s="216"/>
      <c r="G101" s="216"/>
      <c r="H101" s="216"/>
      <c r="I101" s="263"/>
      <c r="J101" s="216"/>
      <c r="K101" s="216"/>
      <c r="L101" s="216"/>
      <c r="M101" s="218"/>
      <c r="Y101" s="149"/>
      <c r="Z101" s="150"/>
      <c r="AD101" s="149"/>
    </row>
    <row r="102" spans="2:30" ht="19.5" thickBot="1" x14ac:dyDescent="0.35">
      <c r="B102" s="224"/>
      <c r="C102" s="216"/>
      <c r="D102" s="216"/>
      <c r="E102" s="216"/>
      <c r="F102" s="216"/>
      <c r="G102" s="216"/>
      <c r="H102" s="216"/>
      <c r="I102" s="263"/>
      <c r="J102" s="216"/>
      <c r="K102" s="216"/>
      <c r="L102" s="216"/>
      <c r="M102" s="218"/>
      <c r="Y102" s="149"/>
      <c r="Z102" s="150"/>
      <c r="AD102" s="149"/>
    </row>
    <row r="103" spans="2:30" ht="19.5" thickBot="1" x14ac:dyDescent="0.35">
      <c r="B103" s="224" t="s">
        <v>401</v>
      </c>
      <c r="C103" s="216"/>
      <c r="D103" s="216"/>
      <c r="E103" s="216"/>
      <c r="F103" s="216"/>
      <c r="G103" s="216"/>
      <c r="H103" s="216"/>
      <c r="I103" s="209" t="s">
        <v>21</v>
      </c>
      <c r="J103" s="400" t="str">
        <f>IF(I103="YES","Refer to RMA Insurance Brokers","")</f>
        <v/>
      </c>
      <c r="K103" s="361"/>
      <c r="L103" s="216"/>
      <c r="M103" s="218"/>
      <c r="Y103" s="149"/>
      <c r="Z103" s="150"/>
      <c r="AD103" s="149"/>
    </row>
    <row r="104" spans="2:30" x14ac:dyDescent="0.3">
      <c r="B104" s="224" t="s">
        <v>264</v>
      </c>
      <c r="C104" s="216"/>
      <c r="D104" s="216"/>
      <c r="E104" s="216"/>
      <c r="F104" s="216"/>
      <c r="G104" s="216"/>
      <c r="H104" s="216"/>
      <c r="I104" s="216"/>
      <c r="J104" s="216"/>
      <c r="K104" s="216"/>
      <c r="L104" s="216"/>
      <c r="M104" s="218"/>
      <c r="Y104" s="149"/>
      <c r="Z104" s="150"/>
      <c r="AD104" s="149"/>
    </row>
    <row r="105" spans="2:30" x14ac:dyDescent="0.3">
      <c r="B105" s="224"/>
      <c r="C105" s="216"/>
      <c r="D105" s="216"/>
      <c r="E105" s="216"/>
      <c r="F105" s="216"/>
      <c r="G105" s="216"/>
      <c r="H105" s="216"/>
      <c r="I105" s="216"/>
      <c r="J105" s="216"/>
      <c r="K105" s="216"/>
      <c r="L105" s="216"/>
      <c r="M105" s="218"/>
      <c r="Y105" s="149"/>
      <c r="Z105" s="150"/>
      <c r="AD105" s="149"/>
    </row>
    <row r="106" spans="2:30" ht="19.5" thickBot="1" x14ac:dyDescent="0.35">
      <c r="B106" s="224"/>
      <c r="C106" s="216"/>
      <c r="D106" s="216"/>
      <c r="E106" s="216"/>
      <c r="F106" s="216"/>
      <c r="G106" s="216"/>
      <c r="H106" s="216"/>
      <c r="I106" s="216"/>
      <c r="J106" s="216"/>
      <c r="K106" s="216"/>
      <c r="L106" s="216"/>
      <c r="M106" s="218"/>
      <c r="Y106" s="149"/>
      <c r="Z106" s="150"/>
      <c r="AD106" s="149"/>
    </row>
    <row r="107" spans="2:30" ht="19.5" thickBot="1" x14ac:dyDescent="0.35">
      <c r="B107" s="264" t="s">
        <v>394</v>
      </c>
      <c r="C107" s="216"/>
      <c r="D107" s="216"/>
      <c r="E107" s="216"/>
      <c r="F107" s="216"/>
      <c r="G107" s="216"/>
      <c r="H107" s="216"/>
      <c r="I107" s="209" t="s">
        <v>21</v>
      </c>
      <c r="J107" s="400" t="str">
        <f>IF(I107="YES","Refer to RMA Insurance Brokers","")</f>
        <v/>
      </c>
      <c r="K107" s="361"/>
      <c r="L107" s="216"/>
      <c r="M107" s="218"/>
      <c r="Y107" s="149"/>
      <c r="Z107" s="150"/>
      <c r="AD107" s="149"/>
    </row>
    <row r="108" spans="2:30" x14ac:dyDescent="0.3">
      <c r="B108" s="224" t="s">
        <v>395</v>
      </c>
      <c r="C108" s="216"/>
      <c r="D108" s="216"/>
      <c r="E108" s="216"/>
      <c r="F108" s="216"/>
      <c r="G108" s="216"/>
      <c r="H108" s="216"/>
      <c r="I108" s="216"/>
      <c r="J108" s="216"/>
      <c r="K108" s="216"/>
      <c r="L108" s="216"/>
      <c r="M108" s="218"/>
      <c r="Y108" s="149"/>
      <c r="Z108" s="150"/>
      <c r="AD108" s="149"/>
    </row>
    <row r="109" spans="2:30" x14ac:dyDescent="0.3">
      <c r="B109" s="224"/>
      <c r="C109" s="216"/>
      <c r="D109" s="216"/>
      <c r="E109" s="216"/>
      <c r="F109" s="216"/>
      <c r="G109" s="216"/>
      <c r="H109" s="216"/>
      <c r="I109" s="216"/>
      <c r="J109" s="216"/>
      <c r="K109" s="216"/>
      <c r="L109" s="216"/>
      <c r="M109" s="218"/>
      <c r="Y109" s="149"/>
      <c r="Z109" s="150"/>
      <c r="AD109" s="149"/>
    </row>
    <row r="110" spans="2:30" ht="19.5" thickBot="1" x14ac:dyDescent="0.35">
      <c r="B110" s="224"/>
      <c r="C110" s="216"/>
      <c r="D110" s="216"/>
      <c r="E110" s="216"/>
      <c r="F110" s="216"/>
      <c r="G110" s="216"/>
      <c r="H110" s="216"/>
      <c r="I110" s="216"/>
      <c r="J110" s="216"/>
      <c r="K110" s="216"/>
      <c r="L110" s="216"/>
      <c r="M110" s="218"/>
      <c r="Y110" s="149"/>
      <c r="Z110" s="150"/>
      <c r="AD110" s="149"/>
    </row>
    <row r="111" spans="2:30" ht="19.5" thickBot="1" x14ac:dyDescent="0.35">
      <c r="B111" s="264" t="s">
        <v>392</v>
      </c>
      <c r="C111" s="265"/>
      <c r="D111" s="265"/>
      <c r="E111" s="216"/>
      <c r="F111" s="216"/>
      <c r="G111" s="216"/>
      <c r="H111" s="216"/>
      <c r="I111" s="209" t="s">
        <v>21</v>
      </c>
      <c r="J111" s="216"/>
      <c r="K111" s="216"/>
      <c r="L111" s="216"/>
      <c r="M111" s="218"/>
      <c r="Y111" s="149"/>
      <c r="Z111" s="150"/>
      <c r="AD111" s="149"/>
    </row>
    <row r="112" spans="2:30" x14ac:dyDescent="0.3">
      <c r="B112" s="264" t="s">
        <v>393</v>
      </c>
      <c r="C112" s="265"/>
      <c r="D112" s="265"/>
      <c r="E112" s="216"/>
      <c r="F112" s="216"/>
      <c r="G112" s="216"/>
      <c r="H112" s="216"/>
      <c r="I112" s="216"/>
      <c r="J112" s="216"/>
      <c r="K112" s="216"/>
      <c r="L112" s="216"/>
      <c r="M112" s="218"/>
      <c r="Y112" s="149"/>
      <c r="Z112" s="150"/>
      <c r="AD112" s="149"/>
    </row>
    <row r="113" spans="2:30" x14ac:dyDescent="0.3">
      <c r="B113" s="264"/>
      <c r="C113" s="265"/>
      <c r="D113" s="265"/>
      <c r="E113" s="216"/>
      <c r="F113" s="216"/>
      <c r="G113" s="216"/>
      <c r="H113" s="216"/>
      <c r="I113" s="216"/>
      <c r="J113" s="216"/>
      <c r="K113" s="216"/>
      <c r="L113" s="216"/>
      <c r="M113" s="218"/>
      <c r="Y113" s="149"/>
      <c r="Z113" s="150"/>
      <c r="AD113" s="149"/>
    </row>
    <row r="114" spans="2:30" x14ac:dyDescent="0.3">
      <c r="B114" s="264"/>
      <c r="C114" s="265"/>
      <c r="D114" s="265"/>
      <c r="E114" s="216"/>
      <c r="F114" s="216"/>
      <c r="G114" s="216"/>
      <c r="H114" s="216"/>
      <c r="I114" s="216"/>
      <c r="J114" s="216"/>
      <c r="K114" s="216"/>
      <c r="L114" s="216"/>
      <c r="M114" s="218"/>
      <c r="Y114" s="149"/>
      <c r="Z114" s="150"/>
      <c r="AD114" s="149"/>
    </row>
    <row r="115" spans="2:30" x14ac:dyDescent="0.3">
      <c r="B115" s="367" t="str">
        <f>IF(I111="Yes","How many?","")</f>
        <v/>
      </c>
      <c r="C115" s="368"/>
      <c r="D115" s="213"/>
      <c r="E115" s="361" t="str">
        <f>IF(D115&gt;2,"Refer to RMA Insurance Brokers","")</f>
        <v/>
      </c>
      <c r="F115" s="361"/>
      <c r="G115" s="361"/>
      <c r="H115" s="361"/>
      <c r="I115" s="361"/>
      <c r="J115" s="266" t="str">
        <f>IF(I111="YES","Year","")</f>
        <v/>
      </c>
      <c r="K115" s="347" t="str">
        <f>IF(I111="YES","Claim Value $","")</f>
        <v/>
      </c>
      <c r="L115" s="347"/>
      <c r="M115" s="218"/>
      <c r="Y115" s="149"/>
      <c r="Z115" s="150"/>
      <c r="AD115" s="149"/>
    </row>
    <row r="116" spans="2:30" x14ac:dyDescent="0.3">
      <c r="B116" s="365" t="str">
        <f>IF(I111="yes","Please provide details of type of claims, dates and values","")</f>
        <v/>
      </c>
      <c r="C116" s="366"/>
      <c r="D116" s="346"/>
      <c r="E116" s="346"/>
      <c r="F116" s="346"/>
      <c r="G116" s="346"/>
      <c r="H116" s="346"/>
      <c r="I116" s="346"/>
      <c r="J116" s="214"/>
      <c r="K116" s="345"/>
      <c r="L116" s="345"/>
      <c r="M116" s="218"/>
      <c r="Y116" s="149"/>
      <c r="Z116" s="150"/>
      <c r="AD116" s="149"/>
    </row>
    <row r="117" spans="2:30" x14ac:dyDescent="0.3">
      <c r="B117" s="365"/>
      <c r="C117" s="366"/>
      <c r="D117" s="346"/>
      <c r="E117" s="346"/>
      <c r="F117" s="346"/>
      <c r="G117" s="346"/>
      <c r="H117" s="346"/>
      <c r="I117" s="346"/>
      <c r="J117" s="214"/>
      <c r="K117" s="345"/>
      <c r="L117" s="345"/>
      <c r="M117" s="218"/>
      <c r="Y117" s="149"/>
      <c r="Z117" s="150"/>
      <c r="AD117" s="149"/>
    </row>
    <row r="118" spans="2:30" x14ac:dyDescent="0.3">
      <c r="B118" s="267"/>
      <c r="C118" s="216"/>
      <c r="D118" s="346"/>
      <c r="E118" s="346"/>
      <c r="F118" s="346"/>
      <c r="G118" s="346"/>
      <c r="H118" s="346"/>
      <c r="I118" s="346"/>
      <c r="J118" s="214"/>
      <c r="K118" s="345"/>
      <c r="L118" s="345"/>
      <c r="M118" s="218"/>
      <c r="Y118" s="149"/>
      <c r="Z118" s="150"/>
      <c r="AD118" s="149"/>
    </row>
    <row r="119" spans="2:30" x14ac:dyDescent="0.3">
      <c r="B119" s="215"/>
      <c r="C119" s="216"/>
      <c r="D119" s="216"/>
      <c r="E119" s="216"/>
      <c r="F119" s="216"/>
      <c r="G119" s="216"/>
      <c r="H119" s="216"/>
      <c r="I119" s="216"/>
      <c r="J119" s="216"/>
      <c r="K119" s="216"/>
      <c r="L119" s="216"/>
      <c r="M119" s="218"/>
      <c r="Y119" s="149"/>
      <c r="Z119" s="150"/>
      <c r="AD119" s="149"/>
    </row>
    <row r="120" spans="2:30" x14ac:dyDescent="0.3">
      <c r="B120" s="215"/>
      <c r="C120" s="216"/>
      <c r="D120" s="216"/>
      <c r="E120" s="216"/>
      <c r="F120" s="216"/>
      <c r="G120" s="216"/>
      <c r="H120" s="216"/>
      <c r="I120" s="216"/>
      <c r="J120" s="216"/>
      <c r="K120" s="216"/>
      <c r="L120" s="216"/>
      <c r="M120" s="218"/>
      <c r="Y120" s="149"/>
      <c r="Z120" s="150"/>
      <c r="AD120" s="149"/>
    </row>
    <row r="121" spans="2:30" x14ac:dyDescent="0.3">
      <c r="B121" s="224" t="s">
        <v>253</v>
      </c>
      <c r="C121" s="216"/>
      <c r="D121" s="216"/>
      <c r="E121" s="216"/>
      <c r="F121" s="216"/>
      <c r="G121" s="216"/>
      <c r="H121" s="216"/>
      <c r="I121" s="216"/>
      <c r="J121" s="216"/>
      <c r="K121" s="216"/>
      <c r="L121" s="216"/>
      <c r="M121" s="268"/>
      <c r="Y121" s="149"/>
      <c r="Z121" s="150"/>
      <c r="AD121" s="149"/>
    </row>
    <row r="122" spans="2:30" x14ac:dyDescent="0.3">
      <c r="B122" s="406"/>
      <c r="C122" s="407"/>
      <c r="D122" s="407"/>
      <c r="E122" s="407"/>
      <c r="F122" s="407"/>
      <c r="G122" s="407"/>
      <c r="H122" s="407"/>
      <c r="I122" s="407"/>
      <c r="J122" s="407"/>
      <c r="K122" s="407"/>
      <c r="L122" s="408"/>
      <c r="M122" s="218"/>
      <c r="Y122" s="149"/>
      <c r="Z122" s="150"/>
      <c r="AD122" s="149"/>
    </row>
    <row r="123" spans="2:30" x14ac:dyDescent="0.3">
      <c r="B123" s="409"/>
      <c r="C123" s="410"/>
      <c r="D123" s="410"/>
      <c r="E123" s="410"/>
      <c r="F123" s="410"/>
      <c r="G123" s="410"/>
      <c r="H123" s="410"/>
      <c r="I123" s="410"/>
      <c r="J123" s="410"/>
      <c r="K123" s="410"/>
      <c r="L123" s="411"/>
      <c r="M123" s="218"/>
      <c r="Y123" s="149"/>
      <c r="Z123" s="150"/>
      <c r="AD123" s="149"/>
    </row>
    <row r="124" spans="2:30" x14ac:dyDescent="0.3">
      <c r="B124" s="409"/>
      <c r="C124" s="410"/>
      <c r="D124" s="410"/>
      <c r="E124" s="410"/>
      <c r="F124" s="410"/>
      <c r="G124" s="410"/>
      <c r="H124" s="410"/>
      <c r="I124" s="410"/>
      <c r="J124" s="410"/>
      <c r="K124" s="410"/>
      <c r="L124" s="411"/>
      <c r="M124" s="218"/>
      <c r="Y124" s="149"/>
      <c r="Z124" s="150"/>
      <c r="AD124" s="149"/>
    </row>
    <row r="125" spans="2:30" x14ac:dyDescent="0.3">
      <c r="B125" s="409"/>
      <c r="C125" s="410"/>
      <c r="D125" s="410"/>
      <c r="E125" s="410"/>
      <c r="F125" s="410"/>
      <c r="G125" s="410"/>
      <c r="H125" s="410"/>
      <c r="I125" s="410"/>
      <c r="J125" s="410"/>
      <c r="K125" s="410"/>
      <c r="L125" s="411"/>
      <c r="M125" s="218"/>
      <c r="Y125" s="149"/>
      <c r="Z125" s="150"/>
      <c r="AD125" s="149"/>
    </row>
    <row r="126" spans="2:30" x14ac:dyDescent="0.3">
      <c r="B126" s="409"/>
      <c r="C126" s="410"/>
      <c r="D126" s="410"/>
      <c r="E126" s="410"/>
      <c r="F126" s="410"/>
      <c r="G126" s="410"/>
      <c r="H126" s="410"/>
      <c r="I126" s="410"/>
      <c r="J126" s="410"/>
      <c r="K126" s="410"/>
      <c r="L126" s="411"/>
      <c r="M126" s="218"/>
      <c r="Y126" s="149"/>
      <c r="Z126" s="150"/>
      <c r="AD126" s="149"/>
    </row>
    <row r="127" spans="2:30" x14ac:dyDescent="0.3">
      <c r="B127" s="409"/>
      <c r="C127" s="410"/>
      <c r="D127" s="410"/>
      <c r="E127" s="410"/>
      <c r="F127" s="410"/>
      <c r="G127" s="410"/>
      <c r="H127" s="410"/>
      <c r="I127" s="410"/>
      <c r="J127" s="410"/>
      <c r="K127" s="410"/>
      <c r="L127" s="411"/>
      <c r="M127" s="218"/>
      <c r="Y127" s="149"/>
      <c r="Z127" s="150"/>
      <c r="AD127" s="149"/>
    </row>
    <row r="128" spans="2:30" x14ac:dyDescent="0.3">
      <c r="B128" s="412"/>
      <c r="C128" s="413"/>
      <c r="D128" s="413"/>
      <c r="E128" s="413"/>
      <c r="F128" s="413"/>
      <c r="G128" s="413"/>
      <c r="H128" s="413"/>
      <c r="I128" s="413"/>
      <c r="J128" s="413"/>
      <c r="K128" s="413"/>
      <c r="L128" s="414"/>
      <c r="M128" s="218"/>
      <c r="Y128" s="149"/>
      <c r="Z128" s="150"/>
      <c r="AD128" s="149"/>
    </row>
    <row r="129" spans="2:30" x14ac:dyDescent="0.3">
      <c r="B129" s="215"/>
      <c r="C129" s="216"/>
      <c r="D129" s="216"/>
      <c r="E129" s="216"/>
      <c r="F129" s="216"/>
      <c r="G129" s="216"/>
      <c r="H129" s="216"/>
      <c r="I129" s="216"/>
      <c r="J129" s="216"/>
      <c r="K129" s="216"/>
      <c r="L129" s="216"/>
      <c r="M129" s="218"/>
      <c r="Y129" s="149"/>
      <c r="Z129" s="150"/>
      <c r="AD129" s="149"/>
    </row>
    <row r="130" spans="2:30" x14ac:dyDescent="0.3">
      <c r="B130" s="269" t="s">
        <v>29</v>
      </c>
      <c r="C130" s="270"/>
      <c r="D130" s="270"/>
      <c r="E130" s="216"/>
      <c r="F130" s="216"/>
      <c r="G130" s="216"/>
      <c r="H130" s="216"/>
      <c r="I130" s="216"/>
      <c r="J130" s="216"/>
      <c r="K130" s="216"/>
      <c r="L130" s="216"/>
      <c r="M130" s="271"/>
      <c r="Y130" s="149"/>
      <c r="Z130" s="150"/>
      <c r="AD130" s="149"/>
    </row>
    <row r="131" spans="2:30" x14ac:dyDescent="0.3">
      <c r="B131" s="272" t="s">
        <v>32</v>
      </c>
      <c r="C131" s="273"/>
      <c r="D131" s="273"/>
      <c r="E131" s="216"/>
      <c r="F131" s="216"/>
      <c r="G131" s="216"/>
      <c r="H131" s="216"/>
      <c r="I131" s="216"/>
      <c r="J131" s="216"/>
      <c r="K131" s="216"/>
      <c r="L131" s="216"/>
      <c r="M131" s="218"/>
      <c r="Y131" s="149"/>
      <c r="Z131" s="150"/>
      <c r="AD131" s="149"/>
    </row>
    <row r="132" spans="2:30" x14ac:dyDescent="0.3">
      <c r="B132" s="274" t="s">
        <v>407</v>
      </c>
      <c r="C132" s="275"/>
      <c r="D132" s="275"/>
      <c r="E132" s="275"/>
      <c r="F132" s="275"/>
      <c r="G132" s="275"/>
      <c r="H132" s="275"/>
      <c r="I132" s="275"/>
      <c r="J132" s="275"/>
      <c r="K132" s="275"/>
      <c r="L132" s="275"/>
      <c r="M132" s="218"/>
      <c r="Y132" s="149"/>
      <c r="Z132" s="150"/>
      <c r="AD132" s="149"/>
    </row>
    <row r="133" spans="2:30" x14ac:dyDescent="0.3">
      <c r="B133" s="274" t="s">
        <v>356</v>
      </c>
      <c r="C133" s="275"/>
      <c r="D133" s="275"/>
      <c r="E133" s="275"/>
      <c r="F133" s="275"/>
      <c r="G133" s="275"/>
      <c r="H133" s="275"/>
      <c r="I133" s="275"/>
      <c r="J133" s="275"/>
      <c r="K133" s="275"/>
      <c r="L133" s="275"/>
      <c r="M133" s="218"/>
      <c r="Y133" s="149"/>
      <c r="Z133" s="150"/>
      <c r="AD133" s="149"/>
    </row>
    <row r="134" spans="2:30" x14ac:dyDescent="0.3">
      <c r="B134" s="274" t="s">
        <v>389</v>
      </c>
      <c r="C134" s="273"/>
      <c r="D134" s="273"/>
      <c r="E134" s="216"/>
      <c r="F134" s="216"/>
      <c r="G134" s="216"/>
      <c r="H134" s="216"/>
      <c r="I134" s="216"/>
      <c r="J134" s="216"/>
      <c r="K134" s="216"/>
      <c r="L134" s="216"/>
      <c r="M134" s="218"/>
      <c r="Y134" s="149"/>
      <c r="Z134" s="150"/>
      <c r="AD134" s="149"/>
    </row>
    <row r="135" spans="2:30" x14ac:dyDescent="0.3">
      <c r="B135" s="274" t="s">
        <v>390</v>
      </c>
      <c r="C135" s="273"/>
      <c r="D135" s="273"/>
      <c r="E135" s="216"/>
      <c r="F135" s="216"/>
      <c r="G135" s="216"/>
      <c r="H135" s="223"/>
      <c r="I135" s="216"/>
      <c r="J135" s="216"/>
      <c r="K135" s="216"/>
      <c r="L135" s="216"/>
      <c r="M135" s="218"/>
      <c r="Y135" s="149"/>
      <c r="Z135" s="150"/>
      <c r="AD135" s="149"/>
    </row>
    <row r="136" spans="2:30" x14ac:dyDescent="0.3">
      <c r="B136" s="274"/>
      <c r="C136" s="273"/>
      <c r="D136" s="273"/>
      <c r="E136" s="216"/>
      <c r="F136" s="216"/>
      <c r="G136" s="216"/>
      <c r="H136" s="223"/>
      <c r="I136" s="216"/>
      <c r="J136" s="216"/>
      <c r="K136" s="216"/>
      <c r="L136" s="216"/>
      <c r="M136" s="218"/>
      <c r="Y136" s="149"/>
      <c r="Z136" s="150"/>
      <c r="AD136" s="149"/>
    </row>
    <row r="137" spans="2:30" x14ac:dyDescent="0.3">
      <c r="B137" s="274" t="s">
        <v>267</v>
      </c>
      <c r="C137" s="273"/>
      <c r="D137" s="273"/>
      <c r="E137" s="216"/>
      <c r="F137" s="216"/>
      <c r="G137" s="216"/>
      <c r="H137" s="216"/>
      <c r="I137" s="216"/>
      <c r="J137" s="216"/>
      <c r="K137" s="216"/>
      <c r="L137" s="216"/>
      <c r="M137" s="218"/>
      <c r="Y137" s="149"/>
      <c r="Z137" s="150"/>
      <c r="AD137" s="149"/>
    </row>
    <row r="138" spans="2:30" x14ac:dyDescent="0.3">
      <c r="B138" s="272" t="s">
        <v>408</v>
      </c>
      <c r="C138" s="273"/>
      <c r="D138" s="273"/>
      <c r="E138" s="216"/>
      <c r="F138" s="216"/>
      <c r="G138" s="216"/>
      <c r="H138" s="216"/>
      <c r="I138" s="216"/>
      <c r="J138" s="216"/>
      <c r="K138" s="216"/>
      <c r="L138" s="216"/>
      <c r="M138" s="218"/>
      <c r="Y138" s="149"/>
      <c r="Z138" s="150"/>
      <c r="AD138" s="149"/>
    </row>
    <row r="139" spans="2:30" x14ac:dyDescent="0.3">
      <c r="B139" s="272" t="s">
        <v>269</v>
      </c>
      <c r="C139" s="273"/>
      <c r="D139" s="273"/>
      <c r="E139" s="216"/>
      <c r="F139" s="216"/>
      <c r="G139" s="216"/>
      <c r="H139" s="216"/>
      <c r="I139" s="216"/>
      <c r="J139" s="216"/>
      <c r="K139" s="216"/>
      <c r="L139" s="216"/>
      <c r="M139" s="218"/>
      <c r="Y139" s="149"/>
      <c r="Z139" s="150"/>
      <c r="AD139" s="149"/>
    </row>
    <row r="140" spans="2:30" x14ac:dyDescent="0.3">
      <c r="B140" s="272" t="s">
        <v>409</v>
      </c>
      <c r="C140" s="273"/>
      <c r="D140" s="273"/>
      <c r="E140" s="216"/>
      <c r="F140" s="216"/>
      <c r="G140" s="216"/>
      <c r="H140" s="216"/>
      <c r="I140" s="216"/>
      <c r="J140" s="216"/>
      <c r="K140" s="216"/>
      <c r="L140" s="216"/>
      <c r="M140" s="218"/>
      <c r="Y140" s="149"/>
      <c r="Z140" s="150"/>
      <c r="AD140" s="149"/>
    </row>
    <row r="141" spans="2:30" x14ac:dyDescent="0.3">
      <c r="B141" s="272" t="s">
        <v>410</v>
      </c>
      <c r="C141" s="273"/>
      <c r="D141" s="273"/>
      <c r="E141" s="216"/>
      <c r="F141" s="216"/>
      <c r="G141" s="216"/>
      <c r="H141" s="216"/>
      <c r="I141" s="216"/>
      <c r="J141" s="216"/>
      <c r="K141" s="216"/>
      <c r="L141" s="216"/>
      <c r="M141" s="218"/>
      <c r="Y141" s="149"/>
      <c r="Z141" s="150"/>
      <c r="AD141" s="149"/>
    </row>
    <row r="142" spans="2:30" x14ac:dyDescent="0.3">
      <c r="B142" s="224"/>
      <c r="C142" s="273"/>
      <c r="D142" s="273"/>
      <c r="E142" s="216"/>
      <c r="F142" s="216"/>
      <c r="G142" s="216"/>
      <c r="H142" s="216"/>
      <c r="I142" s="216"/>
      <c r="J142" s="216"/>
      <c r="K142" s="216"/>
      <c r="L142" s="216"/>
      <c r="M142" s="218"/>
      <c r="Y142" s="149"/>
      <c r="Z142" s="150"/>
      <c r="AD142" s="149"/>
    </row>
    <row r="143" spans="2:30" x14ac:dyDescent="0.3">
      <c r="B143" s="272"/>
      <c r="C143" s="216"/>
      <c r="D143" s="216"/>
      <c r="E143" s="216"/>
      <c r="F143" s="216"/>
      <c r="G143" s="216"/>
      <c r="H143" s="216"/>
      <c r="I143" s="216"/>
      <c r="J143" s="216"/>
      <c r="K143" s="216"/>
      <c r="L143" s="216"/>
      <c r="M143" s="218"/>
      <c r="Y143" s="149"/>
      <c r="Z143" s="150"/>
      <c r="AD143" s="149"/>
    </row>
    <row r="144" spans="2:30" ht="19.5" thickBot="1" x14ac:dyDescent="0.35">
      <c r="B144" s="272"/>
      <c r="C144" s="216"/>
      <c r="D144" s="216"/>
      <c r="E144" s="216"/>
      <c r="F144" s="216"/>
      <c r="G144" s="216"/>
      <c r="H144" s="216"/>
      <c r="I144" s="216"/>
      <c r="J144" s="216"/>
      <c r="K144" s="216"/>
      <c r="L144" s="216"/>
      <c r="M144" s="218"/>
      <c r="Y144" s="149"/>
      <c r="Z144" s="150"/>
      <c r="AD144" s="149"/>
    </row>
    <row r="145" spans="1:30" x14ac:dyDescent="0.3">
      <c r="B145" s="236" t="s">
        <v>406</v>
      </c>
      <c r="C145" s="424" t="s">
        <v>436</v>
      </c>
      <c r="D145" s="425"/>
      <c r="E145" s="425"/>
      <c r="F145" s="425"/>
      <c r="G145" s="425"/>
      <c r="H145" s="425"/>
      <c r="I145" s="426"/>
      <c r="J145" s="216"/>
      <c r="K145" s="216"/>
      <c r="L145" s="216"/>
      <c r="M145" s="218"/>
      <c r="Y145" s="149"/>
      <c r="Z145" s="150"/>
      <c r="AD145" s="149"/>
    </row>
    <row r="146" spans="1:30" ht="19.5" thickBot="1" x14ac:dyDescent="0.35">
      <c r="B146" s="236"/>
      <c r="C146" s="427"/>
      <c r="D146" s="428"/>
      <c r="E146" s="428"/>
      <c r="F146" s="428"/>
      <c r="G146" s="428"/>
      <c r="H146" s="428"/>
      <c r="I146" s="429"/>
      <c r="J146" s="216"/>
      <c r="K146" s="216"/>
      <c r="L146" s="216"/>
      <c r="M146" s="218"/>
      <c r="Y146" s="149"/>
      <c r="Z146" s="150"/>
      <c r="AD146" s="149"/>
    </row>
    <row r="147" spans="1:30" x14ac:dyDescent="0.3">
      <c r="B147" s="236" t="s">
        <v>260</v>
      </c>
      <c r="C147" s="375">
        <f ca="1">TODAY()</f>
        <v>46308</v>
      </c>
      <c r="D147" s="430"/>
      <c r="E147" s="430"/>
      <c r="F147" s="430"/>
      <c r="G147" s="431"/>
      <c r="H147" s="216"/>
      <c r="I147" s="216"/>
      <c r="J147" s="216"/>
      <c r="K147" s="216"/>
      <c r="L147" s="216"/>
      <c r="M147" s="218"/>
      <c r="Y147" s="149"/>
      <c r="Z147" s="150"/>
      <c r="AD147" s="149"/>
    </row>
    <row r="148" spans="1:30" ht="19.5" thickBot="1" x14ac:dyDescent="0.35">
      <c r="B148" s="276"/>
      <c r="C148" s="432"/>
      <c r="D148" s="433"/>
      <c r="E148" s="433"/>
      <c r="F148" s="433"/>
      <c r="G148" s="434"/>
      <c r="H148" s="241"/>
      <c r="I148" s="241"/>
      <c r="J148" s="241"/>
      <c r="K148" s="241"/>
      <c r="L148" s="241"/>
      <c r="M148" s="242"/>
      <c r="Y148" s="149"/>
      <c r="Z148" s="150"/>
      <c r="AD148" s="149"/>
    </row>
    <row r="149" spans="1:30" x14ac:dyDescent="0.3">
      <c r="A149" s="277" t="s">
        <v>419</v>
      </c>
      <c r="B149" s="278"/>
      <c r="C149" s="278"/>
      <c r="D149" s="278"/>
      <c r="E149" s="278"/>
      <c r="F149" s="278"/>
      <c r="G149" s="278"/>
      <c r="H149" s="278"/>
      <c r="I149" s="278"/>
      <c r="J149" s="278"/>
      <c r="K149" s="278"/>
      <c r="L149" s="278"/>
      <c r="M149" s="279"/>
    </row>
    <row r="150" spans="1:30" x14ac:dyDescent="0.3">
      <c r="A150" s="280"/>
      <c r="B150" s="208"/>
      <c r="C150" s="208"/>
      <c r="D150" s="208"/>
      <c r="E150" s="208"/>
      <c r="F150" s="208"/>
      <c r="G150" s="208"/>
      <c r="H150" s="208"/>
      <c r="I150" s="208"/>
      <c r="J150" s="208"/>
      <c r="K150" s="208"/>
      <c r="L150" s="208"/>
      <c r="M150" s="281"/>
    </row>
    <row r="151" spans="1:30" ht="18.75" customHeight="1" x14ac:dyDescent="0.2">
      <c r="A151" s="358" t="s">
        <v>332</v>
      </c>
      <c r="B151" s="359"/>
      <c r="C151" s="359"/>
      <c r="D151" s="359"/>
      <c r="E151" s="359"/>
      <c r="F151" s="359"/>
      <c r="G151" s="359"/>
      <c r="H151" s="359"/>
      <c r="I151" s="359"/>
      <c r="J151" s="359"/>
      <c r="K151" s="359"/>
      <c r="L151" s="359"/>
      <c r="M151" s="360"/>
      <c r="N151" s="203"/>
    </row>
    <row r="152" spans="1:30" ht="18" customHeight="1" x14ac:dyDescent="0.2">
      <c r="A152" s="358"/>
      <c r="B152" s="359"/>
      <c r="C152" s="359"/>
      <c r="D152" s="359"/>
      <c r="E152" s="359"/>
      <c r="F152" s="359"/>
      <c r="G152" s="359"/>
      <c r="H152" s="359"/>
      <c r="I152" s="359"/>
      <c r="J152" s="359"/>
      <c r="K152" s="359"/>
      <c r="L152" s="359"/>
      <c r="M152" s="360"/>
    </row>
    <row r="153" spans="1:30" ht="18" x14ac:dyDescent="0.2">
      <c r="A153" s="348">
        <f>SUM(F9)</f>
        <v>0</v>
      </c>
      <c r="B153" s="349"/>
      <c r="C153" s="349"/>
      <c r="D153" s="349"/>
      <c r="E153" s="349"/>
      <c r="F153" s="349"/>
      <c r="G153" s="350" t="s">
        <v>391</v>
      </c>
      <c r="H153" s="350"/>
      <c r="I153" s="350"/>
      <c r="J153" s="350"/>
      <c r="K153" s="350"/>
      <c r="L153" s="350"/>
      <c r="M153" s="351"/>
    </row>
    <row r="154" spans="1:30" x14ac:dyDescent="0.3">
      <c r="A154" s="282"/>
      <c r="B154" s="283"/>
      <c r="C154" s="283"/>
      <c r="D154" s="283"/>
      <c r="E154" s="283"/>
      <c r="F154" s="208"/>
      <c r="G154" s="208"/>
      <c r="H154" s="208"/>
      <c r="I154" s="208"/>
      <c r="J154" s="284"/>
      <c r="K154" s="283"/>
      <c r="L154" s="208"/>
      <c r="M154" s="281"/>
    </row>
    <row r="155" spans="1:30" x14ac:dyDescent="0.3">
      <c r="A155" s="420" t="s">
        <v>0</v>
      </c>
      <c r="B155" s="421"/>
      <c r="C155" s="421"/>
      <c r="D155" s="421"/>
      <c r="E155" s="421"/>
      <c r="F155" s="421"/>
      <c r="G155" s="421"/>
      <c r="H155" s="421"/>
      <c r="I155" s="421"/>
      <c r="J155" s="320" t="str">
        <f>CONCATENATE(F6)</f>
        <v>BULLS</v>
      </c>
      <c r="K155" s="321"/>
      <c r="L155" s="208"/>
      <c r="M155" s="281"/>
    </row>
    <row r="156" spans="1:30" x14ac:dyDescent="0.3">
      <c r="A156" s="420" t="s">
        <v>1</v>
      </c>
      <c r="B156" s="421"/>
      <c r="C156" s="421"/>
      <c r="D156" s="421"/>
      <c r="E156" s="421"/>
      <c r="F156" s="421"/>
      <c r="G156" s="421"/>
      <c r="H156" s="421"/>
      <c r="I156" s="421"/>
      <c r="J156" s="320" t="str">
        <f t="shared" ref="J156:J157" si="45">CONCATENATE(F7)</f>
        <v>Loss of Use Accident &amp; Illness</v>
      </c>
      <c r="K156" s="321"/>
      <c r="L156" s="208"/>
      <c r="M156" s="281"/>
    </row>
    <row r="157" spans="1:30" x14ac:dyDescent="0.3">
      <c r="A157" s="420" t="s">
        <v>56</v>
      </c>
      <c r="B157" s="421"/>
      <c r="C157" s="421"/>
      <c r="D157" s="421"/>
      <c r="E157" s="421"/>
      <c r="F157" s="421"/>
      <c r="G157" s="421"/>
      <c r="H157" s="421"/>
      <c r="I157" s="421"/>
      <c r="J157" s="320" t="str">
        <f t="shared" si="45"/>
        <v>Twelve Months</v>
      </c>
      <c r="K157" s="321"/>
      <c r="L157" s="208"/>
      <c r="M157" s="281"/>
    </row>
    <row r="158" spans="1:30" x14ac:dyDescent="0.3">
      <c r="A158" s="285"/>
      <c r="B158" s="208"/>
      <c r="C158" s="208"/>
      <c r="D158" s="208"/>
      <c r="E158" s="208"/>
      <c r="F158" s="208"/>
      <c r="G158" s="208"/>
      <c r="H158" s="208"/>
      <c r="I158" s="208"/>
      <c r="J158" s="208"/>
      <c r="K158" s="208"/>
      <c r="L158" s="208"/>
      <c r="M158" s="281"/>
    </row>
    <row r="159" spans="1:30" x14ac:dyDescent="0.3">
      <c r="A159" s="286" t="s">
        <v>333</v>
      </c>
      <c r="B159" s="287"/>
      <c r="C159" s="287"/>
      <c r="D159" s="287"/>
      <c r="E159" s="287"/>
      <c r="F159" s="208"/>
      <c r="G159" s="208"/>
      <c r="H159" s="208"/>
      <c r="I159" s="208"/>
      <c r="J159" s="287" t="s">
        <v>334</v>
      </c>
      <c r="K159" s="283"/>
      <c r="L159" s="208"/>
      <c r="M159" s="281"/>
    </row>
    <row r="160" spans="1:30" x14ac:dyDescent="0.3">
      <c r="A160" s="422" t="str">
        <f>CONCATENATE(C81)</f>
        <v>Sales Venue</v>
      </c>
      <c r="B160" s="423"/>
      <c r="C160" s="423"/>
      <c r="D160" s="423"/>
      <c r="E160" s="423"/>
      <c r="F160" s="423"/>
      <c r="G160" s="423"/>
      <c r="H160" s="423"/>
      <c r="I160" s="208"/>
      <c r="J160" s="417">
        <f ca="1">TODAY()</f>
        <v>46308</v>
      </c>
      <c r="K160" s="417"/>
      <c r="L160" s="208"/>
      <c r="M160" s="281"/>
    </row>
    <row r="161" spans="1:13" x14ac:dyDescent="0.3">
      <c r="A161" s="288" t="s">
        <v>335</v>
      </c>
      <c r="B161" s="289"/>
      <c r="C161" s="289"/>
      <c r="D161" s="289"/>
      <c r="E161" s="289"/>
      <c r="F161" s="290"/>
      <c r="G161" s="290"/>
      <c r="H161" s="290"/>
      <c r="I161" s="208"/>
      <c r="J161" s="283" t="s">
        <v>254</v>
      </c>
      <c r="K161" s="283"/>
      <c r="L161" s="208"/>
      <c r="M161" s="281"/>
    </row>
    <row r="162" spans="1:13" x14ac:dyDescent="0.3">
      <c r="A162" s="422" t="str">
        <f>CONCATENATE(C85," ",C86)</f>
        <v xml:space="preserve"> </v>
      </c>
      <c r="B162" s="423"/>
      <c r="C162" s="423"/>
      <c r="D162" s="423"/>
      <c r="E162" s="423"/>
      <c r="F162" s="423"/>
      <c r="G162" s="423"/>
      <c r="H162" s="423"/>
      <c r="I162" s="208"/>
      <c r="J162" s="415" t="str">
        <f>CONCATENATE(I85)</f>
        <v/>
      </c>
      <c r="K162" s="415"/>
      <c r="L162" s="208"/>
      <c r="M162" s="281"/>
    </row>
    <row r="163" spans="1:13" x14ac:dyDescent="0.3">
      <c r="A163" s="288" t="s">
        <v>353</v>
      </c>
      <c r="B163" s="289"/>
      <c r="C163" s="289"/>
      <c r="D163" s="289"/>
      <c r="E163" s="289"/>
      <c r="F163" s="290"/>
      <c r="G163" s="290"/>
      <c r="H163" s="290"/>
      <c r="I163" s="208"/>
      <c r="J163" s="283" t="s">
        <v>257</v>
      </c>
      <c r="K163" s="283"/>
      <c r="L163" s="208"/>
      <c r="M163" s="281"/>
    </row>
    <row r="164" spans="1:13" x14ac:dyDescent="0.3">
      <c r="A164" s="422" t="str">
        <f>CONCATENATE(C91)</f>
        <v/>
      </c>
      <c r="B164" s="423"/>
      <c r="C164" s="423"/>
      <c r="D164" s="423"/>
      <c r="E164" s="423"/>
      <c r="F164" s="423"/>
      <c r="G164" s="423"/>
      <c r="H164" s="423"/>
      <c r="I164" s="208"/>
      <c r="J164" s="416" t="str">
        <f>CONCATENATE(I91)</f>
        <v/>
      </c>
      <c r="K164" s="416"/>
      <c r="L164" s="208"/>
      <c r="M164" s="281"/>
    </row>
    <row r="165" spans="1:13" x14ac:dyDescent="0.3">
      <c r="A165" s="288" t="s">
        <v>336</v>
      </c>
      <c r="B165" s="289"/>
      <c r="C165" s="289"/>
      <c r="D165" s="289"/>
      <c r="E165" s="289"/>
      <c r="F165" s="290"/>
      <c r="G165" s="290"/>
      <c r="H165" s="290"/>
      <c r="I165" s="208"/>
      <c r="J165" s="283"/>
      <c r="K165" s="283"/>
      <c r="L165" s="208"/>
      <c r="M165" s="281"/>
    </row>
    <row r="166" spans="1:13" x14ac:dyDescent="0.3">
      <c r="A166" s="422" t="str">
        <f>CONCATENATE(C88," ",C89," - ",I88," ",+I89)</f>
        <v xml:space="preserve">  -  </v>
      </c>
      <c r="B166" s="423"/>
      <c r="C166" s="423"/>
      <c r="D166" s="423"/>
      <c r="E166" s="423"/>
      <c r="F166" s="423"/>
      <c r="G166" s="423"/>
      <c r="H166" s="423"/>
      <c r="I166" s="208"/>
      <c r="J166" s="208"/>
      <c r="K166" s="208"/>
      <c r="L166" s="208"/>
      <c r="M166" s="281"/>
    </row>
    <row r="167" spans="1:13" x14ac:dyDescent="0.3">
      <c r="A167" s="291"/>
      <c r="B167" s="208"/>
      <c r="C167" s="208"/>
      <c r="D167" s="208"/>
      <c r="E167" s="208"/>
      <c r="F167" s="208"/>
      <c r="G167" s="208"/>
      <c r="H167" s="208"/>
      <c r="I167" s="208"/>
      <c r="J167" s="208"/>
      <c r="K167" s="208"/>
      <c r="L167" s="208"/>
      <c r="M167" s="281"/>
    </row>
    <row r="168" spans="1:13" x14ac:dyDescent="0.3">
      <c r="A168" s="286" t="s">
        <v>354</v>
      </c>
      <c r="B168" s="283"/>
      <c r="C168" s="283"/>
      <c r="D168" s="283"/>
      <c r="E168" s="283"/>
      <c r="F168" s="208"/>
      <c r="G168" s="208"/>
      <c r="H168" s="208"/>
      <c r="I168" s="208"/>
      <c r="J168" s="283"/>
      <c r="K168" s="283"/>
      <c r="L168" s="208"/>
      <c r="M168" s="281"/>
    </row>
    <row r="169" spans="1:13" x14ac:dyDescent="0.3">
      <c r="A169" s="286"/>
      <c r="B169" s="283"/>
      <c r="C169" s="283"/>
      <c r="D169" s="283"/>
      <c r="E169" s="283"/>
      <c r="F169" s="208"/>
      <c r="G169" s="208"/>
      <c r="H169" s="208"/>
      <c r="I169" s="208"/>
      <c r="J169" s="283"/>
      <c r="K169" s="283"/>
      <c r="L169" s="208"/>
      <c r="M169" s="281"/>
    </row>
    <row r="170" spans="1:13" x14ac:dyDescent="0.3">
      <c r="A170" s="286" t="s">
        <v>355</v>
      </c>
      <c r="B170" s="283"/>
      <c r="C170" s="283"/>
      <c r="D170" s="283"/>
      <c r="E170" s="283"/>
      <c r="F170" s="208"/>
      <c r="G170" s="208"/>
      <c r="H170" s="208"/>
      <c r="I170" s="208"/>
      <c r="J170" s="283"/>
      <c r="K170" s="283"/>
      <c r="L170" s="208"/>
      <c r="M170" s="281"/>
    </row>
    <row r="171" spans="1:13" x14ac:dyDescent="0.3">
      <c r="A171" s="286"/>
      <c r="B171" s="283"/>
      <c r="C171" s="283"/>
      <c r="D171" s="283"/>
      <c r="E171" s="283"/>
      <c r="F171" s="208"/>
      <c r="G171" s="208"/>
      <c r="H171" s="208"/>
      <c r="I171" s="208"/>
      <c r="J171" s="283"/>
      <c r="K171" s="283"/>
      <c r="L171" s="208"/>
      <c r="M171" s="281"/>
    </row>
    <row r="172" spans="1:13" x14ac:dyDescent="0.3">
      <c r="A172" s="418" t="s">
        <v>403</v>
      </c>
      <c r="B172" s="419"/>
      <c r="C172" s="419"/>
      <c r="D172" s="419"/>
      <c r="E172" s="419"/>
      <c r="F172" s="419"/>
      <c r="G172" s="419"/>
      <c r="H172" s="419"/>
      <c r="I172" s="208"/>
      <c r="J172" s="322" t="str">
        <f>CONCATENATE(I98)</f>
        <v>NO</v>
      </c>
      <c r="K172" s="435" t="str">
        <f>CONCATENATE(J98)</f>
        <v/>
      </c>
      <c r="L172" s="436"/>
      <c r="M172" s="281"/>
    </row>
    <row r="173" spans="1:13" x14ac:dyDescent="0.3">
      <c r="A173" s="418"/>
      <c r="B173" s="419"/>
      <c r="C173" s="419"/>
      <c r="D173" s="419"/>
      <c r="E173" s="419"/>
      <c r="F173" s="419"/>
      <c r="G173" s="419"/>
      <c r="H173" s="419"/>
      <c r="I173" s="208"/>
      <c r="J173" s="323"/>
      <c r="K173" s="435"/>
      <c r="L173" s="436"/>
      <c r="M173" s="281"/>
    </row>
    <row r="174" spans="1:13" x14ac:dyDescent="0.3">
      <c r="A174" s="418" t="s">
        <v>400</v>
      </c>
      <c r="B174" s="419"/>
      <c r="C174" s="419"/>
      <c r="D174" s="419"/>
      <c r="E174" s="419"/>
      <c r="F174" s="419"/>
      <c r="G174" s="419"/>
      <c r="H174" s="419"/>
      <c r="I174" s="208"/>
      <c r="J174" s="323"/>
      <c r="K174" s="435"/>
      <c r="L174" s="436"/>
      <c r="M174" s="281"/>
    </row>
    <row r="175" spans="1:13" x14ac:dyDescent="0.3">
      <c r="A175" s="418"/>
      <c r="B175" s="419"/>
      <c r="C175" s="419"/>
      <c r="D175" s="419"/>
      <c r="E175" s="419"/>
      <c r="F175" s="419"/>
      <c r="G175" s="419"/>
      <c r="H175" s="419"/>
      <c r="I175" s="208"/>
      <c r="J175" s="324"/>
      <c r="K175" s="435"/>
      <c r="L175" s="436"/>
      <c r="M175" s="281"/>
    </row>
    <row r="176" spans="1:13" x14ac:dyDescent="0.3">
      <c r="A176" s="418" t="s">
        <v>383</v>
      </c>
      <c r="B176" s="419"/>
      <c r="C176" s="419"/>
      <c r="D176" s="419"/>
      <c r="E176" s="419"/>
      <c r="F176" s="419"/>
      <c r="G176" s="419"/>
      <c r="H176" s="419"/>
      <c r="I176" s="208"/>
      <c r="J176" s="322" t="str">
        <f>CONCATENATE(I103)</f>
        <v>NO</v>
      </c>
      <c r="K176" s="435" t="str">
        <f>CONCATENATE(J103)</f>
        <v/>
      </c>
      <c r="L176" s="436"/>
      <c r="M176" s="281"/>
    </row>
    <row r="177" spans="1:13" x14ac:dyDescent="0.3">
      <c r="A177" s="418"/>
      <c r="B177" s="419"/>
      <c r="C177" s="419"/>
      <c r="D177" s="419"/>
      <c r="E177" s="419"/>
      <c r="F177" s="419"/>
      <c r="G177" s="419"/>
      <c r="H177" s="419"/>
      <c r="I177" s="208"/>
      <c r="J177" s="324"/>
      <c r="K177" s="435"/>
      <c r="L177" s="436"/>
      <c r="M177" s="281"/>
    </row>
    <row r="178" spans="1:13" x14ac:dyDescent="0.3">
      <c r="A178" s="418" t="s">
        <v>384</v>
      </c>
      <c r="B178" s="419"/>
      <c r="C178" s="419"/>
      <c r="D178" s="419"/>
      <c r="E178" s="419"/>
      <c r="F178" s="419"/>
      <c r="G178" s="419"/>
      <c r="H178" s="419"/>
      <c r="I178" s="208"/>
      <c r="J178" s="322" t="str">
        <f>CONCATENATE(I111)</f>
        <v>NO</v>
      </c>
      <c r="K178" s="435" t="str">
        <f>CONCATENATE(E115)</f>
        <v/>
      </c>
      <c r="L178" s="436"/>
      <c r="M178" s="281"/>
    </row>
    <row r="179" spans="1:13" x14ac:dyDescent="0.3">
      <c r="A179" s="418"/>
      <c r="B179" s="419"/>
      <c r="C179" s="419"/>
      <c r="D179" s="419"/>
      <c r="E179" s="419"/>
      <c r="F179" s="419"/>
      <c r="G179" s="419"/>
      <c r="H179" s="419"/>
      <c r="I179" s="208"/>
      <c r="J179" s="324"/>
      <c r="K179" s="435"/>
      <c r="L179" s="436"/>
      <c r="M179" s="281"/>
    </row>
    <row r="180" spans="1:13" x14ac:dyDescent="0.3">
      <c r="A180" s="418" t="s">
        <v>385</v>
      </c>
      <c r="B180" s="419"/>
      <c r="C180" s="419"/>
      <c r="D180" s="419"/>
      <c r="E180" s="419"/>
      <c r="F180" s="419"/>
      <c r="G180" s="419"/>
      <c r="H180" s="419"/>
      <c r="I180" s="208"/>
      <c r="J180" s="322" t="str">
        <f>CONCATENATE(I107)</f>
        <v>NO</v>
      </c>
      <c r="K180" s="435" t="str">
        <f>CONCATENATE(J107)</f>
        <v/>
      </c>
      <c r="L180" s="436"/>
      <c r="M180" s="281"/>
    </row>
    <row r="181" spans="1:13" x14ac:dyDescent="0.3">
      <c r="A181" s="418"/>
      <c r="B181" s="419"/>
      <c r="C181" s="419"/>
      <c r="D181" s="419"/>
      <c r="E181" s="419"/>
      <c r="F181" s="419"/>
      <c r="G181" s="419"/>
      <c r="H181" s="419"/>
      <c r="I181" s="208"/>
      <c r="J181" s="324"/>
      <c r="K181" s="435"/>
      <c r="L181" s="436"/>
      <c r="M181" s="281"/>
    </row>
    <row r="182" spans="1:13" x14ac:dyDescent="0.3">
      <c r="A182" s="292"/>
      <c r="B182" s="293"/>
      <c r="C182" s="293"/>
      <c r="D182" s="293"/>
      <c r="E182" s="293"/>
      <c r="F182" s="293"/>
      <c r="G182" s="293"/>
      <c r="H182" s="293"/>
      <c r="I182" s="208"/>
      <c r="J182" s="208"/>
      <c r="K182" s="208"/>
      <c r="L182" s="208"/>
      <c r="M182" s="281"/>
    </row>
    <row r="183" spans="1:13" x14ac:dyDescent="0.3">
      <c r="A183" s="341" t="s">
        <v>402</v>
      </c>
      <c r="B183" s="342"/>
      <c r="C183" s="342"/>
      <c r="D183" s="342"/>
      <c r="E183" s="342"/>
      <c r="F183" s="342"/>
      <c r="G183" s="342"/>
      <c r="H183" s="342"/>
      <c r="I183" s="208"/>
      <c r="J183" s="208"/>
      <c r="K183" s="208"/>
      <c r="L183" s="208"/>
      <c r="M183" s="281"/>
    </row>
    <row r="184" spans="1:13" x14ac:dyDescent="0.3">
      <c r="A184" s="341"/>
      <c r="B184" s="342"/>
      <c r="C184" s="342"/>
      <c r="D184" s="342"/>
      <c r="E184" s="342"/>
      <c r="F184" s="342"/>
      <c r="G184" s="342"/>
      <c r="H184" s="342"/>
      <c r="I184" s="208"/>
      <c r="J184" s="208"/>
      <c r="K184" s="208"/>
      <c r="L184" s="208"/>
      <c r="M184" s="281"/>
    </row>
    <row r="185" spans="1:13" x14ac:dyDescent="0.3">
      <c r="A185" s="291" t="s">
        <v>356</v>
      </c>
      <c r="B185" s="295"/>
      <c r="C185" s="295"/>
      <c r="D185" s="295"/>
      <c r="E185" s="295"/>
      <c r="G185" s="208"/>
      <c r="H185" s="208"/>
      <c r="I185" s="208"/>
      <c r="J185" s="208"/>
      <c r="K185" s="208"/>
      <c r="L185" s="208"/>
      <c r="M185" s="281"/>
    </row>
    <row r="186" spans="1:13" x14ac:dyDescent="0.3">
      <c r="A186" s="291" t="s">
        <v>389</v>
      </c>
      <c r="B186" s="208"/>
      <c r="C186" s="208"/>
      <c r="D186" s="208"/>
      <c r="E186" s="208"/>
      <c r="F186" s="208"/>
      <c r="G186" s="208"/>
      <c r="H186" s="208"/>
      <c r="I186" s="208"/>
      <c r="J186" s="208"/>
      <c r="K186" s="208"/>
      <c r="L186" s="208"/>
      <c r="M186" s="281"/>
    </row>
    <row r="187" spans="1:13" x14ac:dyDescent="0.3">
      <c r="A187" s="280" t="s">
        <v>390</v>
      </c>
      <c r="B187" s="295"/>
      <c r="C187" s="295"/>
      <c r="D187" s="295"/>
      <c r="E187" s="295"/>
      <c r="F187" s="295"/>
      <c r="G187" s="208"/>
      <c r="H187" s="208"/>
      <c r="I187" s="208"/>
      <c r="J187" s="208"/>
      <c r="K187" s="208"/>
      <c r="L187" s="208"/>
      <c r="M187" s="281"/>
    </row>
    <row r="188" spans="1:13" x14ac:dyDescent="0.3">
      <c r="A188" s="296"/>
      <c r="B188" s="208"/>
      <c r="C188" s="208"/>
      <c r="D188" s="208"/>
      <c r="E188" s="208"/>
      <c r="F188" s="208"/>
      <c r="G188" s="208"/>
      <c r="H188" s="208"/>
      <c r="I188" s="208"/>
      <c r="J188" s="208"/>
      <c r="K188" s="208"/>
      <c r="L188" s="208"/>
      <c r="M188" s="281"/>
    </row>
    <row r="189" spans="1:13" x14ac:dyDescent="0.3">
      <c r="A189" s="294" t="s">
        <v>337</v>
      </c>
      <c r="B189" s="208"/>
      <c r="C189" s="208"/>
      <c r="D189" s="208"/>
      <c r="E189" s="208"/>
      <c r="F189" s="208"/>
      <c r="G189" s="208"/>
      <c r="H189" s="208"/>
      <c r="I189" s="208"/>
      <c r="J189" s="208"/>
      <c r="K189" s="208"/>
      <c r="L189" s="208"/>
      <c r="M189" s="281"/>
    </row>
    <row r="190" spans="1:13" x14ac:dyDescent="0.3">
      <c r="A190" s="294" t="s">
        <v>338</v>
      </c>
      <c r="B190" s="208"/>
      <c r="C190" s="208"/>
      <c r="D190" s="208"/>
      <c r="E190" s="208"/>
      <c r="F190" s="208"/>
      <c r="G190" s="208"/>
      <c r="H190" s="208"/>
      <c r="I190" s="208"/>
      <c r="J190" s="208"/>
      <c r="K190" s="208"/>
      <c r="L190" s="208"/>
      <c r="M190" s="281"/>
    </row>
    <row r="191" spans="1:13" x14ac:dyDescent="0.3">
      <c r="A191" s="280"/>
      <c r="B191" s="208"/>
      <c r="C191" s="208"/>
      <c r="D191" s="208"/>
      <c r="E191" s="208"/>
      <c r="F191" s="208"/>
      <c r="G191" s="208"/>
      <c r="H191" s="208"/>
      <c r="I191" s="208"/>
      <c r="J191" s="208"/>
      <c r="K191" s="208"/>
      <c r="L191" s="208"/>
      <c r="M191" s="281"/>
    </row>
    <row r="192" spans="1:13" ht="19.5" thickBot="1" x14ac:dyDescent="0.35">
      <c r="A192" s="291"/>
      <c r="B192" s="208"/>
      <c r="C192" s="208"/>
      <c r="D192" s="208"/>
      <c r="E192" s="208"/>
      <c r="F192" s="208"/>
      <c r="G192" s="208"/>
      <c r="H192" s="208"/>
      <c r="I192" s="208"/>
      <c r="J192" s="208"/>
      <c r="K192" s="208"/>
      <c r="L192" s="208"/>
      <c r="M192" s="281"/>
    </row>
    <row r="193" spans="1:25" ht="19.5" thickBot="1" x14ac:dyDescent="0.35">
      <c r="A193" s="449" t="s">
        <v>340</v>
      </c>
      <c r="B193" s="450"/>
      <c r="C193" s="451"/>
      <c r="D193" s="452" t="s">
        <v>341</v>
      </c>
      <c r="E193" s="453"/>
      <c r="F193" s="452" t="s">
        <v>342</v>
      </c>
      <c r="G193" s="453"/>
      <c r="H193" s="452" t="s">
        <v>343</v>
      </c>
      <c r="I193" s="453"/>
      <c r="J193" s="452" t="s">
        <v>18</v>
      </c>
      <c r="K193" s="453"/>
      <c r="L193" s="208"/>
      <c r="M193" s="281"/>
    </row>
    <row r="194" spans="1:25" ht="30" customHeight="1" x14ac:dyDescent="0.3">
      <c r="A194" s="297" t="s">
        <v>348</v>
      </c>
      <c r="B194" s="440" t="str">
        <f>CONCATENATE(D19)</f>
        <v/>
      </c>
      <c r="C194" s="440"/>
      <c r="D194" s="441" t="str">
        <f>IF(B194&gt;"","As per attached Catalogue","")</f>
        <v/>
      </c>
      <c r="E194" s="442"/>
      <c r="F194" s="441" t="str">
        <f>IF(B194&gt;"","As per attached Catalogue","")</f>
        <v/>
      </c>
      <c r="G194" s="442"/>
      <c r="H194" s="443">
        <f>SUM(E19)</f>
        <v>0</v>
      </c>
      <c r="I194" s="442"/>
      <c r="J194" s="444">
        <f>SUM(K19)</f>
        <v>0</v>
      </c>
      <c r="K194" s="445"/>
      <c r="L194" s="208"/>
      <c r="M194" s="281"/>
    </row>
    <row r="195" spans="1:25" ht="30" customHeight="1" x14ac:dyDescent="0.3">
      <c r="A195" s="298" t="s">
        <v>349</v>
      </c>
      <c r="B195" s="440" t="str">
        <f t="shared" ref="B195:B198" si="46">CONCATENATE(D20)</f>
        <v/>
      </c>
      <c r="C195" s="440"/>
      <c r="D195" s="441" t="str">
        <f t="shared" ref="D195:D198" si="47">IF(B195&gt;"","As per attached Catalogue","")</f>
        <v/>
      </c>
      <c r="E195" s="442"/>
      <c r="F195" s="441" t="str">
        <f t="shared" ref="F195:F198" si="48">IF(B195&gt;"","As per attached Catalogue","")</f>
        <v/>
      </c>
      <c r="G195" s="442"/>
      <c r="H195" s="443">
        <f t="shared" ref="H195:H198" si="49">SUM(E20)</f>
        <v>0</v>
      </c>
      <c r="I195" s="442"/>
      <c r="J195" s="444">
        <f t="shared" ref="J195:J198" si="50">SUM(K20)</f>
        <v>0</v>
      </c>
      <c r="K195" s="445"/>
      <c r="L195" s="208"/>
      <c r="M195" s="281"/>
    </row>
    <row r="196" spans="1:25" ht="30" customHeight="1" x14ac:dyDescent="0.3">
      <c r="A196" s="298" t="s">
        <v>350</v>
      </c>
      <c r="B196" s="440" t="str">
        <f t="shared" si="46"/>
        <v/>
      </c>
      <c r="C196" s="440"/>
      <c r="D196" s="441" t="str">
        <f t="shared" si="47"/>
        <v/>
      </c>
      <c r="E196" s="442"/>
      <c r="F196" s="441" t="str">
        <f t="shared" si="48"/>
        <v/>
      </c>
      <c r="G196" s="442"/>
      <c r="H196" s="443">
        <f t="shared" si="49"/>
        <v>0</v>
      </c>
      <c r="I196" s="442"/>
      <c r="J196" s="444">
        <f t="shared" si="50"/>
        <v>0</v>
      </c>
      <c r="K196" s="445"/>
      <c r="L196" s="208"/>
      <c r="M196" s="281"/>
    </row>
    <row r="197" spans="1:25" ht="30" customHeight="1" x14ac:dyDescent="0.3">
      <c r="A197" s="298" t="s">
        <v>351</v>
      </c>
      <c r="B197" s="440" t="str">
        <f t="shared" si="46"/>
        <v/>
      </c>
      <c r="C197" s="440"/>
      <c r="D197" s="441" t="str">
        <f t="shared" si="47"/>
        <v/>
      </c>
      <c r="E197" s="442"/>
      <c r="F197" s="441" t="str">
        <f t="shared" si="48"/>
        <v/>
      </c>
      <c r="G197" s="442"/>
      <c r="H197" s="443">
        <f t="shared" si="49"/>
        <v>0</v>
      </c>
      <c r="I197" s="442"/>
      <c r="J197" s="444">
        <f t="shared" si="50"/>
        <v>0</v>
      </c>
      <c r="K197" s="445"/>
      <c r="L197" s="208"/>
      <c r="M197" s="281"/>
    </row>
    <row r="198" spans="1:25" ht="30" customHeight="1" x14ac:dyDescent="0.3">
      <c r="A198" s="298" t="s">
        <v>352</v>
      </c>
      <c r="B198" s="440" t="str">
        <f t="shared" si="46"/>
        <v/>
      </c>
      <c r="C198" s="440"/>
      <c r="D198" s="441" t="str">
        <f t="shared" si="47"/>
        <v/>
      </c>
      <c r="E198" s="442"/>
      <c r="F198" s="441" t="str">
        <f t="shared" si="48"/>
        <v/>
      </c>
      <c r="G198" s="442"/>
      <c r="H198" s="443">
        <f t="shared" si="49"/>
        <v>0</v>
      </c>
      <c r="I198" s="442"/>
      <c r="J198" s="444">
        <f t="shared" si="50"/>
        <v>0</v>
      </c>
      <c r="K198" s="445"/>
      <c r="L198" s="208"/>
      <c r="M198" s="281"/>
    </row>
    <row r="199" spans="1:25" s="149" customFormat="1" x14ac:dyDescent="0.3">
      <c r="A199" s="291"/>
      <c r="B199" s="208"/>
      <c r="C199" s="208"/>
      <c r="D199" s="208"/>
      <c r="E199" s="208"/>
      <c r="F199" s="208"/>
      <c r="G199" s="208"/>
      <c r="H199" s="208"/>
      <c r="I199" s="208"/>
      <c r="J199" s="208"/>
      <c r="K199" s="208"/>
      <c r="L199" s="208"/>
      <c r="M199" s="281"/>
      <c r="Y199" s="150"/>
    </row>
    <row r="200" spans="1:25" s="149" customFormat="1" x14ac:dyDescent="0.3">
      <c r="A200" s="291"/>
      <c r="B200" s="208"/>
      <c r="C200" s="208"/>
      <c r="D200" s="208"/>
      <c r="E200" s="208"/>
      <c r="F200" s="208"/>
      <c r="G200" s="208"/>
      <c r="H200" s="208"/>
      <c r="I200" s="208"/>
      <c r="J200" s="208"/>
      <c r="K200" s="208"/>
      <c r="L200" s="208"/>
      <c r="M200" s="281"/>
      <c r="Y200" s="150"/>
    </row>
    <row r="201" spans="1:25" x14ac:dyDescent="0.3">
      <c r="A201" s="446" t="s">
        <v>344</v>
      </c>
      <c r="B201" s="447"/>
      <c r="C201" s="447"/>
      <c r="D201" s="447"/>
      <c r="E201" s="447"/>
      <c r="F201" s="447"/>
      <c r="G201" s="448"/>
      <c r="H201" s="314">
        <f>SUM(G27)</f>
        <v>0</v>
      </c>
      <c r="I201" s="315"/>
      <c r="J201" s="315"/>
      <c r="K201" s="316"/>
      <c r="L201" s="208"/>
      <c r="M201" s="281"/>
    </row>
    <row r="202" spans="1:25" x14ac:dyDescent="0.3">
      <c r="A202" s="446" t="s">
        <v>345</v>
      </c>
      <c r="B202" s="447"/>
      <c r="C202" s="447"/>
      <c r="D202" s="447"/>
      <c r="E202" s="447"/>
      <c r="F202" s="447"/>
      <c r="G202" s="448"/>
      <c r="H202" s="314">
        <f>SUM(G28)</f>
        <v>0</v>
      </c>
      <c r="I202" s="315"/>
      <c r="J202" s="315"/>
      <c r="K202" s="316"/>
      <c r="L202" s="208"/>
      <c r="M202" s="281"/>
    </row>
    <row r="203" spans="1:25" x14ac:dyDescent="0.3">
      <c r="A203" s="446" t="s">
        <v>346</v>
      </c>
      <c r="B203" s="447"/>
      <c r="C203" s="447"/>
      <c r="D203" s="447"/>
      <c r="E203" s="447"/>
      <c r="F203" s="447"/>
      <c r="G203" s="448"/>
      <c r="H203" s="437">
        <f>SUM(H201:K202)</f>
        <v>0</v>
      </c>
      <c r="I203" s="438"/>
      <c r="J203" s="438"/>
      <c r="K203" s="439"/>
      <c r="L203" s="208"/>
      <c r="M203" s="281"/>
    </row>
    <row r="204" spans="1:25" x14ac:dyDescent="0.3">
      <c r="A204" s="446" t="s">
        <v>34</v>
      </c>
      <c r="B204" s="447"/>
      <c r="C204" s="447"/>
      <c r="D204" s="447"/>
      <c r="E204" s="447"/>
      <c r="F204" s="447"/>
      <c r="G204" s="448"/>
      <c r="H204" s="314">
        <f>SUM(G29)</f>
        <v>0</v>
      </c>
      <c r="I204" s="315"/>
      <c r="J204" s="315"/>
      <c r="K204" s="316"/>
      <c r="L204" s="208"/>
      <c r="M204" s="281"/>
    </row>
    <row r="205" spans="1:25" x14ac:dyDescent="0.3">
      <c r="A205" s="446" t="s">
        <v>358</v>
      </c>
      <c r="B205" s="447"/>
      <c r="C205" s="447"/>
      <c r="D205" s="447"/>
      <c r="E205" s="447"/>
      <c r="F205" s="447"/>
      <c r="G205" s="448"/>
      <c r="H205" s="314">
        <f>SUM(G30)</f>
        <v>55</v>
      </c>
      <c r="I205" s="315"/>
      <c r="J205" s="315"/>
      <c r="K205" s="316"/>
      <c r="L205" s="208"/>
      <c r="M205" s="281"/>
    </row>
    <row r="206" spans="1:25" x14ac:dyDescent="0.3">
      <c r="A206" s="343" t="s">
        <v>347</v>
      </c>
      <c r="B206" s="344"/>
      <c r="C206" s="344"/>
      <c r="D206" s="208"/>
      <c r="E206" s="208"/>
      <c r="F206" s="208"/>
      <c r="G206" s="208"/>
      <c r="H206" s="312">
        <f>SUM(G31)</f>
        <v>55</v>
      </c>
      <c r="I206" s="313"/>
      <c r="J206" s="313"/>
      <c r="K206" s="313"/>
      <c r="L206" s="208"/>
      <c r="M206" s="281"/>
    </row>
    <row r="207" spans="1:25" x14ac:dyDescent="0.3">
      <c r="A207" s="280"/>
      <c r="B207" s="208"/>
      <c r="C207" s="208"/>
      <c r="D207" s="208"/>
      <c r="E207" s="208"/>
      <c r="F207" s="208"/>
      <c r="G207" s="208"/>
      <c r="H207" s="208"/>
      <c r="I207" s="208"/>
      <c r="J207" s="208"/>
      <c r="K207" s="208"/>
      <c r="L207" s="208"/>
      <c r="M207" s="281"/>
    </row>
    <row r="208" spans="1:25" x14ac:dyDescent="0.3">
      <c r="A208" s="282" t="s">
        <v>417</v>
      </c>
      <c r="B208" s="208"/>
      <c r="C208" s="208"/>
      <c r="D208" s="208"/>
      <c r="E208" s="208"/>
      <c r="F208" s="208"/>
      <c r="G208" s="208"/>
      <c r="H208" s="208"/>
      <c r="I208" s="208"/>
      <c r="J208" s="208"/>
      <c r="K208" s="208"/>
      <c r="L208" s="208"/>
      <c r="M208" s="281"/>
    </row>
    <row r="209" spans="1:13" ht="18.75" customHeight="1" x14ac:dyDescent="0.2">
      <c r="A209" s="327" t="str">
        <f>CONCATENATE(B122)</f>
        <v/>
      </c>
      <c r="B209" s="328"/>
      <c r="C209" s="328"/>
      <c r="D209" s="328"/>
      <c r="E209" s="328"/>
      <c r="F209" s="328"/>
      <c r="G209" s="328"/>
      <c r="H209" s="328"/>
      <c r="I209" s="328"/>
      <c r="J209" s="328"/>
      <c r="K209" s="328"/>
      <c r="L209" s="328"/>
      <c r="M209" s="329"/>
    </row>
    <row r="210" spans="1:13" ht="18.75" customHeight="1" x14ac:dyDescent="0.2">
      <c r="A210" s="330"/>
      <c r="B210" s="331"/>
      <c r="C210" s="331"/>
      <c r="D210" s="331"/>
      <c r="E210" s="331"/>
      <c r="F210" s="331"/>
      <c r="G210" s="331"/>
      <c r="H210" s="331"/>
      <c r="I210" s="331"/>
      <c r="J210" s="331"/>
      <c r="K210" s="331"/>
      <c r="L210" s="331"/>
      <c r="M210" s="332"/>
    </row>
    <row r="211" spans="1:13" ht="18.75" customHeight="1" x14ac:dyDescent="0.2">
      <c r="A211" s="330"/>
      <c r="B211" s="331"/>
      <c r="C211" s="331"/>
      <c r="D211" s="331"/>
      <c r="E211" s="331"/>
      <c r="F211" s="331"/>
      <c r="G211" s="331"/>
      <c r="H211" s="331"/>
      <c r="I211" s="331"/>
      <c r="J211" s="331"/>
      <c r="K211" s="331"/>
      <c r="L211" s="331"/>
      <c r="M211" s="332"/>
    </row>
    <row r="212" spans="1:13" ht="18.75" customHeight="1" x14ac:dyDescent="0.2">
      <c r="A212" s="330"/>
      <c r="B212" s="331"/>
      <c r="C212" s="331"/>
      <c r="D212" s="331"/>
      <c r="E212" s="331"/>
      <c r="F212" s="331"/>
      <c r="G212" s="331"/>
      <c r="H212" s="331"/>
      <c r="I212" s="331"/>
      <c r="J212" s="331"/>
      <c r="K212" s="331"/>
      <c r="L212" s="331"/>
      <c r="M212" s="332"/>
    </row>
    <row r="213" spans="1:13" ht="18.75" customHeight="1" x14ac:dyDescent="0.2">
      <c r="A213" s="333"/>
      <c r="B213" s="334"/>
      <c r="C213" s="334"/>
      <c r="D213" s="334"/>
      <c r="E213" s="334"/>
      <c r="F213" s="334"/>
      <c r="G213" s="334"/>
      <c r="H213" s="334"/>
      <c r="I213" s="334"/>
      <c r="J213" s="334"/>
      <c r="K213" s="334"/>
      <c r="L213" s="334"/>
      <c r="M213" s="335"/>
    </row>
    <row r="214" spans="1:13" ht="18.75" customHeight="1" x14ac:dyDescent="0.3">
      <c r="A214" s="337" t="s">
        <v>420</v>
      </c>
      <c r="B214" s="338"/>
      <c r="C214" s="300"/>
      <c r="D214" s="300"/>
      <c r="E214" s="300"/>
      <c r="F214" s="300"/>
      <c r="G214" s="300"/>
      <c r="H214" s="300"/>
      <c r="I214" s="300"/>
      <c r="J214" s="300"/>
      <c r="K214" s="300"/>
      <c r="L214" s="300"/>
      <c r="M214" s="301"/>
    </row>
    <row r="215" spans="1:13" ht="18.75" customHeight="1" x14ac:dyDescent="0.3">
      <c r="A215" s="299"/>
      <c r="B215" s="300">
        <f>SUM(D115)</f>
        <v>0</v>
      </c>
      <c r="C215" s="305" t="str">
        <f>IF(B215&gt;0,"Claims","")</f>
        <v/>
      </c>
      <c r="D215" s="300"/>
      <c r="E215" s="300"/>
      <c r="F215" s="300"/>
      <c r="G215" s="300"/>
      <c r="H215" s="300"/>
      <c r="I215" s="340" t="str">
        <f>CONCATENATE(J115)</f>
        <v/>
      </c>
      <c r="J215" s="340"/>
      <c r="K215" s="300" t="str">
        <f>CONCATENATE(K115)</f>
        <v/>
      </c>
      <c r="L215" s="300"/>
      <c r="M215" s="301"/>
    </row>
    <row r="216" spans="1:13" ht="18.75" customHeight="1" x14ac:dyDescent="0.3">
      <c r="A216" s="299"/>
      <c r="B216" s="339" t="str">
        <f>CONCATENATE(D116)</f>
        <v/>
      </c>
      <c r="C216" s="339"/>
      <c r="D216" s="339"/>
      <c r="E216" s="339"/>
      <c r="F216" s="339"/>
      <c r="G216" s="339"/>
      <c r="H216" s="339"/>
      <c r="I216" s="340" t="str">
        <f>CONCATENATE(J116)</f>
        <v/>
      </c>
      <c r="J216" s="340"/>
      <c r="K216" s="306">
        <f>SUM(K116)</f>
        <v>0</v>
      </c>
      <c r="L216" s="300"/>
      <c r="M216" s="301"/>
    </row>
    <row r="217" spans="1:13" ht="18.75" customHeight="1" x14ac:dyDescent="0.3">
      <c r="A217" s="299"/>
      <c r="B217" s="339" t="str">
        <f t="shared" ref="B217:B218" si="51">CONCATENATE(D117)</f>
        <v/>
      </c>
      <c r="C217" s="339"/>
      <c r="D217" s="339"/>
      <c r="E217" s="339"/>
      <c r="F217" s="339"/>
      <c r="G217" s="339"/>
      <c r="H217" s="339"/>
      <c r="I217" s="340" t="str">
        <f t="shared" ref="I217:I218" si="52">CONCATENATE(J117)</f>
        <v/>
      </c>
      <c r="J217" s="340"/>
      <c r="K217" s="306">
        <f t="shared" ref="K217:K218" si="53">SUM(K117)</f>
        <v>0</v>
      </c>
      <c r="L217" s="300"/>
      <c r="M217" s="301"/>
    </row>
    <row r="218" spans="1:13" ht="18.75" customHeight="1" x14ac:dyDescent="0.3">
      <c r="A218" s="299"/>
      <c r="B218" s="339" t="str">
        <f t="shared" si="51"/>
        <v/>
      </c>
      <c r="C218" s="339"/>
      <c r="D218" s="339"/>
      <c r="E218" s="339"/>
      <c r="F218" s="339"/>
      <c r="G218" s="339"/>
      <c r="H218" s="339"/>
      <c r="I218" s="340" t="str">
        <f t="shared" si="52"/>
        <v/>
      </c>
      <c r="J218" s="340"/>
      <c r="K218" s="306">
        <f t="shared" si="53"/>
        <v>0</v>
      </c>
      <c r="L218" s="300"/>
      <c r="M218" s="301"/>
    </row>
    <row r="219" spans="1:13" ht="18.75" customHeight="1" x14ac:dyDescent="0.3">
      <c r="A219" s="299"/>
      <c r="B219" s="300"/>
      <c r="C219" s="300"/>
      <c r="D219" s="300"/>
      <c r="E219" s="300"/>
      <c r="F219" s="300"/>
      <c r="G219" s="300"/>
      <c r="H219" s="300"/>
      <c r="I219" s="300"/>
      <c r="J219" s="300"/>
      <c r="K219" s="300"/>
      <c r="L219" s="300"/>
      <c r="M219" s="301"/>
    </row>
    <row r="220" spans="1:13" ht="18.75" customHeight="1" x14ac:dyDescent="0.3">
      <c r="A220" s="299"/>
      <c r="B220" s="300"/>
      <c r="C220" s="300"/>
      <c r="D220" s="300"/>
      <c r="E220" s="300"/>
      <c r="F220" s="300"/>
      <c r="G220" s="300"/>
      <c r="H220" s="300"/>
      <c r="I220" s="300"/>
      <c r="J220" s="300"/>
      <c r="K220" s="300"/>
      <c r="L220" s="300"/>
      <c r="M220" s="301"/>
    </row>
    <row r="221" spans="1:13" x14ac:dyDescent="0.3">
      <c r="A221" s="325" t="s">
        <v>415</v>
      </c>
      <c r="B221" s="326"/>
      <c r="C221" s="326"/>
      <c r="D221" s="208"/>
      <c r="E221" s="326" t="str">
        <f>CONCATENATE(A162)</f>
        <v xml:space="preserve"> </v>
      </c>
      <c r="F221" s="326"/>
      <c r="G221" s="326"/>
      <c r="H221" s="208"/>
      <c r="I221" s="336">
        <f ca="1">TODAY()</f>
        <v>46308</v>
      </c>
      <c r="J221" s="336"/>
      <c r="K221" s="208"/>
      <c r="L221" s="208"/>
      <c r="M221" s="281"/>
    </row>
    <row r="222" spans="1:13" x14ac:dyDescent="0.3">
      <c r="A222" s="325" t="s">
        <v>414</v>
      </c>
      <c r="B222" s="326"/>
      <c r="C222" s="326"/>
      <c r="D222" s="208"/>
      <c r="E222" s="283" t="s">
        <v>416</v>
      </c>
      <c r="F222" s="283"/>
      <c r="G222" s="283"/>
      <c r="H222" s="208"/>
      <c r="I222" s="283" t="s">
        <v>418</v>
      </c>
      <c r="J222" s="208"/>
      <c r="K222" s="208"/>
      <c r="L222" s="208"/>
      <c r="M222" s="281"/>
    </row>
    <row r="223" spans="1:13" ht="19.5" thickBot="1" x14ac:dyDescent="0.35">
      <c r="A223" s="302"/>
      <c r="B223" s="303"/>
      <c r="C223" s="303"/>
      <c r="D223" s="303"/>
      <c r="E223" s="303"/>
      <c r="F223" s="303"/>
      <c r="G223" s="303"/>
      <c r="H223" s="303"/>
      <c r="I223" s="303"/>
      <c r="J223" s="303"/>
      <c r="K223" s="303"/>
      <c r="L223" s="303"/>
      <c r="M223" s="304"/>
    </row>
    <row r="224" spans="1:13" x14ac:dyDescent="0.3">
      <c r="A224" s="212"/>
    </row>
    <row r="225" spans="1:1" x14ac:dyDescent="0.3">
      <c r="A225" s="212"/>
    </row>
    <row r="226" spans="1:1" x14ac:dyDescent="0.3">
      <c r="A226" s="212"/>
    </row>
    <row r="227" spans="1:1" x14ac:dyDescent="0.3">
      <c r="A227" s="212"/>
    </row>
    <row r="228" spans="1:1" x14ac:dyDescent="0.3">
      <c r="A228" s="212"/>
    </row>
    <row r="229" spans="1:1" x14ac:dyDescent="0.3">
      <c r="A229" s="212"/>
    </row>
    <row r="230" spans="1:1" x14ac:dyDescent="0.3">
      <c r="A230" s="212"/>
    </row>
    <row r="231" spans="1:1" x14ac:dyDescent="0.3">
      <c r="A231" s="212"/>
    </row>
    <row r="232" spans="1:1" x14ac:dyDescent="0.3">
      <c r="A232" s="212"/>
    </row>
    <row r="233" spans="1:1" x14ac:dyDescent="0.3">
      <c r="A233" s="212"/>
    </row>
    <row r="234" spans="1:1" x14ac:dyDescent="0.3">
      <c r="A234" s="212"/>
    </row>
    <row r="235" spans="1:1" x14ac:dyDescent="0.3">
      <c r="A235" s="212"/>
    </row>
    <row r="236" spans="1:1" x14ac:dyDescent="0.3">
      <c r="A236" s="212"/>
    </row>
    <row r="237" spans="1:1" x14ac:dyDescent="0.3">
      <c r="A237" s="212"/>
    </row>
    <row r="238" spans="1:1" x14ac:dyDescent="0.3">
      <c r="A238" s="212"/>
    </row>
    <row r="239" spans="1:1" x14ac:dyDescent="0.3">
      <c r="A239" s="212"/>
    </row>
    <row r="240" spans="1:1" x14ac:dyDescent="0.3">
      <c r="A240" s="212"/>
    </row>
    <row r="241" spans="1:1" x14ac:dyDescent="0.3">
      <c r="A241" s="212"/>
    </row>
    <row r="242" spans="1:1" x14ac:dyDescent="0.3">
      <c r="A242" s="212"/>
    </row>
    <row r="243" spans="1:1" x14ac:dyDescent="0.3">
      <c r="A243" s="212"/>
    </row>
    <row r="244" spans="1:1" x14ac:dyDescent="0.3">
      <c r="A244" s="212"/>
    </row>
    <row r="245" spans="1:1" x14ac:dyDescent="0.3">
      <c r="A245" s="212"/>
    </row>
    <row r="246" spans="1:1" x14ac:dyDescent="0.3">
      <c r="A246" s="212"/>
    </row>
    <row r="247" spans="1:1" x14ac:dyDescent="0.3">
      <c r="A247" s="212"/>
    </row>
    <row r="248" spans="1:1" x14ac:dyDescent="0.3">
      <c r="A248" s="212"/>
    </row>
    <row r="249" spans="1:1" x14ac:dyDescent="0.3">
      <c r="A249" s="212"/>
    </row>
    <row r="250" spans="1:1" x14ac:dyDescent="0.3">
      <c r="A250" s="212"/>
    </row>
    <row r="251" spans="1:1" x14ac:dyDescent="0.3">
      <c r="A251" s="212"/>
    </row>
    <row r="252" spans="1:1" x14ac:dyDescent="0.3">
      <c r="A252" s="212"/>
    </row>
    <row r="253" spans="1:1" x14ac:dyDescent="0.3">
      <c r="A253" s="212"/>
    </row>
    <row r="254" spans="1:1" x14ac:dyDescent="0.3">
      <c r="A254" s="212"/>
    </row>
    <row r="255" spans="1:1" x14ac:dyDescent="0.3">
      <c r="A255" s="212"/>
    </row>
    <row r="256" spans="1:1" x14ac:dyDescent="0.3">
      <c r="A256" s="212"/>
    </row>
    <row r="257" spans="1:1" x14ac:dyDescent="0.3">
      <c r="A257" s="212"/>
    </row>
    <row r="258" spans="1:1" x14ac:dyDescent="0.3">
      <c r="A258" s="212"/>
    </row>
    <row r="259" spans="1:1" x14ac:dyDescent="0.3">
      <c r="A259" s="212"/>
    </row>
    <row r="260" spans="1:1" x14ac:dyDescent="0.3">
      <c r="A260" s="212"/>
    </row>
    <row r="261" spans="1:1" x14ac:dyDescent="0.3">
      <c r="A261" s="212"/>
    </row>
    <row r="262" spans="1:1" x14ac:dyDescent="0.3">
      <c r="A262" s="212"/>
    </row>
    <row r="263" spans="1:1" x14ac:dyDescent="0.3">
      <c r="A263" s="212"/>
    </row>
    <row r="264" spans="1:1" x14ac:dyDescent="0.3">
      <c r="A264" s="212"/>
    </row>
    <row r="265" spans="1:1" x14ac:dyDescent="0.3">
      <c r="A265" s="212"/>
    </row>
    <row r="266" spans="1:1" x14ac:dyDescent="0.3">
      <c r="A266" s="212"/>
    </row>
    <row r="267" spans="1:1" x14ac:dyDescent="0.3">
      <c r="A267" s="212"/>
    </row>
    <row r="268" spans="1:1" x14ac:dyDescent="0.3">
      <c r="A268" s="212"/>
    </row>
    <row r="269" spans="1:1" x14ac:dyDescent="0.3">
      <c r="A269" s="212"/>
    </row>
    <row r="270" spans="1:1" x14ac:dyDescent="0.3">
      <c r="A270" s="212"/>
    </row>
    <row r="271" spans="1:1" x14ac:dyDescent="0.3">
      <c r="A271" s="212"/>
    </row>
    <row r="272" spans="1:1" x14ac:dyDescent="0.3">
      <c r="A272" s="212"/>
    </row>
    <row r="273" spans="1:1" x14ac:dyDescent="0.3">
      <c r="A273" s="212"/>
    </row>
    <row r="274" spans="1:1" x14ac:dyDescent="0.3">
      <c r="A274" s="212"/>
    </row>
    <row r="275" spans="1:1" x14ac:dyDescent="0.3">
      <c r="A275" s="212"/>
    </row>
    <row r="276" spans="1:1" x14ac:dyDescent="0.3">
      <c r="A276" s="212"/>
    </row>
    <row r="277" spans="1:1" x14ac:dyDescent="0.3">
      <c r="A277" s="212"/>
    </row>
    <row r="278" spans="1:1" x14ac:dyDescent="0.3">
      <c r="A278" s="212"/>
    </row>
    <row r="279" spans="1:1" x14ac:dyDescent="0.3">
      <c r="A279" s="212"/>
    </row>
    <row r="280" spans="1:1" x14ac:dyDescent="0.3">
      <c r="A280" s="212"/>
    </row>
    <row r="281" spans="1:1" x14ac:dyDescent="0.3">
      <c r="A281" s="212"/>
    </row>
    <row r="282" spans="1:1" x14ac:dyDescent="0.3">
      <c r="A282" s="212"/>
    </row>
    <row r="283" spans="1:1" x14ac:dyDescent="0.3">
      <c r="A283" s="212"/>
    </row>
    <row r="284" spans="1:1" x14ac:dyDescent="0.3">
      <c r="A284" s="212"/>
    </row>
    <row r="285" spans="1:1" x14ac:dyDescent="0.3">
      <c r="A285" s="212"/>
    </row>
    <row r="286" spans="1:1" x14ac:dyDescent="0.3">
      <c r="A286" s="212"/>
    </row>
    <row r="287" spans="1:1" x14ac:dyDescent="0.3">
      <c r="A287" s="212"/>
    </row>
    <row r="288" spans="1:1" x14ac:dyDescent="0.3">
      <c r="A288" s="212"/>
    </row>
    <row r="289" spans="1:1" x14ac:dyDescent="0.3">
      <c r="A289" s="212"/>
    </row>
    <row r="290" spans="1:1" x14ac:dyDescent="0.3">
      <c r="A290" s="212"/>
    </row>
    <row r="291" spans="1:1" x14ac:dyDescent="0.3">
      <c r="A291" s="212"/>
    </row>
    <row r="292" spans="1:1" x14ac:dyDescent="0.3">
      <c r="A292" s="212"/>
    </row>
    <row r="293" spans="1:1" x14ac:dyDescent="0.3">
      <c r="A293" s="212"/>
    </row>
    <row r="294" spans="1:1" x14ac:dyDescent="0.3">
      <c r="A294" s="212"/>
    </row>
    <row r="295" spans="1:1" x14ac:dyDescent="0.3">
      <c r="A295" s="212"/>
    </row>
    <row r="296" spans="1:1" x14ac:dyDescent="0.3">
      <c r="A296" s="212"/>
    </row>
    <row r="297" spans="1:1" x14ac:dyDescent="0.3">
      <c r="A297" s="212"/>
    </row>
    <row r="298" spans="1:1" x14ac:dyDescent="0.3">
      <c r="A298" s="212"/>
    </row>
    <row r="299" spans="1:1" x14ac:dyDescent="0.3">
      <c r="A299" s="212"/>
    </row>
    <row r="300" spans="1:1" x14ac:dyDescent="0.3">
      <c r="A300" s="212"/>
    </row>
    <row r="301" spans="1:1" x14ac:dyDescent="0.3">
      <c r="A301" s="212"/>
    </row>
    <row r="302" spans="1:1" x14ac:dyDescent="0.3">
      <c r="A302" s="212"/>
    </row>
    <row r="303" spans="1:1" x14ac:dyDescent="0.3">
      <c r="A303" s="212"/>
    </row>
    <row r="304" spans="1:1" x14ac:dyDescent="0.3">
      <c r="A304" s="212"/>
    </row>
    <row r="305" spans="1:1" x14ac:dyDescent="0.3">
      <c r="A305" s="212"/>
    </row>
    <row r="306" spans="1:1" x14ac:dyDescent="0.3">
      <c r="A306" s="212"/>
    </row>
    <row r="307" spans="1:1" x14ac:dyDescent="0.3">
      <c r="A307" s="212"/>
    </row>
    <row r="308" spans="1:1" x14ac:dyDescent="0.3">
      <c r="A308" s="212"/>
    </row>
    <row r="309" spans="1:1" x14ac:dyDescent="0.3">
      <c r="A309" s="212"/>
    </row>
    <row r="310" spans="1:1" x14ac:dyDescent="0.3">
      <c r="A310" s="212"/>
    </row>
    <row r="311" spans="1:1" x14ac:dyDescent="0.3">
      <c r="A311" s="212"/>
    </row>
    <row r="312" spans="1:1" x14ac:dyDescent="0.3">
      <c r="A312" s="212"/>
    </row>
    <row r="313" spans="1:1" x14ac:dyDescent="0.3">
      <c r="A313" s="212"/>
    </row>
    <row r="314" spans="1:1" x14ac:dyDescent="0.3">
      <c r="A314" s="212"/>
    </row>
    <row r="315" spans="1:1" x14ac:dyDescent="0.3">
      <c r="A315" s="212"/>
    </row>
    <row r="316" spans="1:1" x14ac:dyDescent="0.3">
      <c r="A316" s="212"/>
    </row>
    <row r="317" spans="1:1" x14ac:dyDescent="0.3">
      <c r="A317" s="212"/>
    </row>
    <row r="318" spans="1:1" x14ac:dyDescent="0.3">
      <c r="A318" s="212"/>
    </row>
    <row r="319" spans="1:1" x14ac:dyDescent="0.3">
      <c r="A319" s="212"/>
    </row>
    <row r="320" spans="1:1" x14ac:dyDescent="0.3">
      <c r="A320" s="212"/>
    </row>
    <row r="321" spans="1:1" x14ac:dyDescent="0.3">
      <c r="A321" s="212"/>
    </row>
    <row r="322" spans="1:1" x14ac:dyDescent="0.3">
      <c r="A322" s="212"/>
    </row>
    <row r="323" spans="1:1" x14ac:dyDescent="0.3">
      <c r="A323" s="212"/>
    </row>
    <row r="324" spans="1:1" x14ac:dyDescent="0.3">
      <c r="A324" s="212"/>
    </row>
    <row r="325" spans="1:1" x14ac:dyDescent="0.3">
      <c r="A325" s="212"/>
    </row>
    <row r="326" spans="1:1" x14ac:dyDescent="0.3">
      <c r="A326" s="212"/>
    </row>
    <row r="327" spans="1:1" x14ac:dyDescent="0.3">
      <c r="A327" s="212"/>
    </row>
    <row r="328" spans="1:1" x14ac:dyDescent="0.3">
      <c r="A328" s="212"/>
    </row>
    <row r="329" spans="1:1" x14ac:dyDescent="0.3">
      <c r="A329" s="212"/>
    </row>
    <row r="330" spans="1:1" x14ac:dyDescent="0.3">
      <c r="A330" s="212"/>
    </row>
  </sheetData>
  <sheetProtection algorithmName="SHA-512" hashValue="OJig3QBNTfR1sOrBEwfktXkspfiNkebbl+mdzBw3KuYdXHUhTDbYyzpnNBWM/UB+myEx7BHrOOOViKraNoGnUg==" saltValue="WyZ6i4miEHhb7HRc5EzumA==" spinCount="100000" sheet="1" objects="1" scenarios="1"/>
  <mergeCells count="164">
    <mergeCell ref="J193:K193"/>
    <mergeCell ref="J194:K194"/>
    <mergeCell ref="J195:K195"/>
    <mergeCell ref="J196:K196"/>
    <mergeCell ref="J197:K197"/>
    <mergeCell ref="F196:G196"/>
    <mergeCell ref="F197:G197"/>
    <mergeCell ref="F198:G198"/>
    <mergeCell ref="H193:I193"/>
    <mergeCell ref="H194:I194"/>
    <mergeCell ref="H195:I195"/>
    <mergeCell ref="H196:I196"/>
    <mergeCell ref="A204:G204"/>
    <mergeCell ref="A205:G205"/>
    <mergeCell ref="A193:C193"/>
    <mergeCell ref="D193:E193"/>
    <mergeCell ref="D194:E194"/>
    <mergeCell ref="D195:E195"/>
    <mergeCell ref="B194:C194"/>
    <mergeCell ref="B195:C195"/>
    <mergeCell ref="F193:G193"/>
    <mergeCell ref="F194:G194"/>
    <mergeCell ref="F195:G195"/>
    <mergeCell ref="H202:K202"/>
    <mergeCell ref="H203:K203"/>
    <mergeCell ref="B196:C196"/>
    <mergeCell ref="B197:C197"/>
    <mergeCell ref="B198:C198"/>
    <mergeCell ref="D196:E196"/>
    <mergeCell ref="D197:E197"/>
    <mergeCell ref="D198:E198"/>
    <mergeCell ref="H197:I197"/>
    <mergeCell ref="H198:I198"/>
    <mergeCell ref="J198:K198"/>
    <mergeCell ref="A201:G201"/>
    <mergeCell ref="A202:G202"/>
    <mergeCell ref="A203:G203"/>
    <mergeCell ref="J162:K162"/>
    <mergeCell ref="J164:K164"/>
    <mergeCell ref="J160:K160"/>
    <mergeCell ref="A172:H173"/>
    <mergeCell ref="A174:H175"/>
    <mergeCell ref="A176:H177"/>
    <mergeCell ref="A178:H179"/>
    <mergeCell ref="A180:H181"/>
    <mergeCell ref="A155:I155"/>
    <mergeCell ref="A156:I156"/>
    <mergeCell ref="A157:I157"/>
    <mergeCell ref="A160:H160"/>
    <mergeCell ref="A162:H162"/>
    <mergeCell ref="A164:H164"/>
    <mergeCell ref="A166:H166"/>
    <mergeCell ref="J180:J181"/>
    <mergeCell ref="K172:L175"/>
    <mergeCell ref="K176:L177"/>
    <mergeCell ref="K178:L179"/>
    <mergeCell ref="K180:L181"/>
    <mergeCell ref="G30:H30"/>
    <mergeCell ref="G31:H31"/>
    <mergeCell ref="P70:Q70"/>
    <mergeCell ref="P71:Q71"/>
    <mergeCell ref="P72:Q72"/>
    <mergeCell ref="P73:Q73"/>
    <mergeCell ref="P74:Q74"/>
    <mergeCell ref="B69:B74"/>
    <mergeCell ref="P38:Q38"/>
    <mergeCell ref="P39:Q39"/>
    <mergeCell ref="P40:Q40"/>
    <mergeCell ref="P41:Q41"/>
    <mergeCell ref="P42:Q42"/>
    <mergeCell ref="P43:Q43"/>
    <mergeCell ref="P44:Q44"/>
    <mergeCell ref="P46:Q46"/>
    <mergeCell ref="P47:Q47"/>
    <mergeCell ref="P48:Q48"/>
    <mergeCell ref="P49:Q49"/>
    <mergeCell ref="P50:Q50"/>
    <mergeCell ref="P54:Q54"/>
    <mergeCell ref="P55:Q55"/>
    <mergeCell ref="B37:B42"/>
    <mergeCell ref="B45:B50"/>
    <mergeCell ref="B78:D79"/>
    <mergeCell ref="B34:J36"/>
    <mergeCell ref="J98:K98"/>
    <mergeCell ref="J103:K103"/>
    <mergeCell ref="J107:K107"/>
    <mergeCell ref="P56:Q56"/>
    <mergeCell ref="P57:Q57"/>
    <mergeCell ref="P58:Q58"/>
    <mergeCell ref="P62:Q62"/>
    <mergeCell ref="P63:Q63"/>
    <mergeCell ref="P64:Q64"/>
    <mergeCell ref="P65:Q65"/>
    <mergeCell ref="P66:Q66"/>
    <mergeCell ref="B53:B58"/>
    <mergeCell ref="B61:B66"/>
    <mergeCell ref="B1:M1"/>
    <mergeCell ref="F3:H3"/>
    <mergeCell ref="F4:H4"/>
    <mergeCell ref="F5:H5"/>
    <mergeCell ref="F6:H6"/>
    <mergeCell ref="F7:H7"/>
    <mergeCell ref="I7:J7"/>
    <mergeCell ref="F9:H9"/>
    <mergeCell ref="G29:H29"/>
    <mergeCell ref="F8:H8"/>
    <mergeCell ref="F11:H11"/>
    <mergeCell ref="C14:I14"/>
    <mergeCell ref="B22:B23"/>
    <mergeCell ref="G27:H27"/>
    <mergeCell ref="G28:H28"/>
    <mergeCell ref="K117:L117"/>
    <mergeCell ref="K118:L118"/>
    <mergeCell ref="D117:I117"/>
    <mergeCell ref="D118:I118"/>
    <mergeCell ref="A151:M152"/>
    <mergeCell ref="E115:I115"/>
    <mergeCell ref="C85:F85"/>
    <mergeCell ref="I85:J85"/>
    <mergeCell ref="C86:F86"/>
    <mergeCell ref="C93:F93"/>
    <mergeCell ref="B116:C117"/>
    <mergeCell ref="B115:C115"/>
    <mergeCell ref="C88:F88"/>
    <mergeCell ref="B122:L128"/>
    <mergeCell ref="C145:I146"/>
    <mergeCell ref="C147:G148"/>
    <mergeCell ref="A222:C222"/>
    <mergeCell ref="A221:C221"/>
    <mergeCell ref="E221:G221"/>
    <mergeCell ref="A209:M213"/>
    <mergeCell ref="I221:J221"/>
    <mergeCell ref="A214:B214"/>
    <mergeCell ref="B216:H216"/>
    <mergeCell ref="I216:J216"/>
    <mergeCell ref="B217:H217"/>
    <mergeCell ref="I217:J217"/>
    <mergeCell ref="B218:H218"/>
    <mergeCell ref="I218:J218"/>
    <mergeCell ref="I215:J215"/>
    <mergeCell ref="H206:K206"/>
    <mergeCell ref="H201:K201"/>
    <mergeCell ref="C81:F81"/>
    <mergeCell ref="C83:F83"/>
    <mergeCell ref="J156:K156"/>
    <mergeCell ref="J157:K157"/>
    <mergeCell ref="J172:J175"/>
    <mergeCell ref="J176:J177"/>
    <mergeCell ref="J178:J179"/>
    <mergeCell ref="A183:H184"/>
    <mergeCell ref="H204:K204"/>
    <mergeCell ref="H205:K205"/>
    <mergeCell ref="A206:C206"/>
    <mergeCell ref="K116:L116"/>
    <mergeCell ref="D116:I116"/>
    <mergeCell ref="K115:L115"/>
    <mergeCell ref="J155:K155"/>
    <mergeCell ref="A153:F153"/>
    <mergeCell ref="G153:M153"/>
    <mergeCell ref="C89:F89"/>
    <mergeCell ref="C91:F91"/>
    <mergeCell ref="I88:L88"/>
    <mergeCell ref="I89:L89"/>
    <mergeCell ref="I91:L91"/>
  </mergeCells>
  <conditionalFormatting sqref="D38:D42">
    <cfRule type="expression" dxfId="28" priority="22">
      <formula>$E$19&gt;70000</formula>
    </cfRule>
  </conditionalFormatting>
  <conditionalFormatting sqref="D46:D50">
    <cfRule type="expression" dxfId="27" priority="12">
      <formula>$E$19&gt;70000</formula>
    </cfRule>
  </conditionalFormatting>
  <conditionalFormatting sqref="D54:D58">
    <cfRule type="expression" dxfId="26" priority="11">
      <formula>$E$19&gt;70000</formula>
    </cfRule>
  </conditionalFormatting>
  <conditionalFormatting sqref="D62:D66">
    <cfRule type="expression" dxfId="25" priority="10">
      <formula>$E$19&gt;70000</formula>
    </cfRule>
  </conditionalFormatting>
  <conditionalFormatting sqref="D70:D74">
    <cfRule type="expression" dxfId="24" priority="9">
      <formula>$E$19&gt;70000</formula>
    </cfRule>
  </conditionalFormatting>
  <conditionalFormatting sqref="D115">
    <cfRule type="expression" dxfId="23" priority="1">
      <formula>$I$111="YES"</formula>
    </cfRule>
  </conditionalFormatting>
  <conditionalFormatting sqref="D116:L118">
    <cfRule type="expression" dxfId="22" priority="2">
      <formula>$I$111="yes"</formula>
    </cfRule>
  </conditionalFormatting>
  <conditionalFormatting sqref="E19">
    <cfRule type="expression" dxfId="21" priority="52">
      <formula>$E$19&gt;70000</formula>
    </cfRule>
  </conditionalFormatting>
  <conditionalFormatting sqref="E20">
    <cfRule type="expression" dxfId="20" priority="51">
      <formula>$E$20&gt;70000</formula>
    </cfRule>
  </conditionalFormatting>
  <conditionalFormatting sqref="E21">
    <cfRule type="expression" dxfId="19" priority="50">
      <formula>$E$21&gt;70000</formula>
    </cfRule>
  </conditionalFormatting>
  <conditionalFormatting sqref="E22">
    <cfRule type="expression" dxfId="18" priority="49">
      <formula>$E$22&gt;70000</formula>
    </cfRule>
  </conditionalFormatting>
  <conditionalFormatting sqref="E23">
    <cfRule type="expression" dxfId="17" priority="48">
      <formula>$E$23&gt;70000</formula>
    </cfRule>
  </conditionalFormatting>
  <conditionalFormatting sqref="W65">
    <cfRule type="expression" dxfId="16" priority="37">
      <formula>$E$19&gt;70000</formula>
    </cfRule>
  </conditionalFormatting>
  <conditionalFormatting sqref="W66">
    <cfRule type="expression" dxfId="15" priority="36">
      <formula>$E$20&gt;70000</formula>
    </cfRule>
  </conditionalFormatting>
  <conditionalFormatting sqref="W67">
    <cfRule type="expression" dxfId="14" priority="35">
      <formula>$E$21&gt;70000</formula>
    </cfRule>
  </conditionalFormatting>
  <conditionalFormatting sqref="W68">
    <cfRule type="expression" dxfId="13" priority="34">
      <formula>$E$22&gt;70000</formula>
    </cfRule>
  </conditionalFormatting>
  <conditionalFormatting sqref="W69">
    <cfRule type="expression" dxfId="12" priority="33">
      <formula>$E$23&gt;70000</formula>
    </cfRule>
  </conditionalFormatting>
  <pageMargins left="0.25" right="0.25" top="0.75" bottom="0.75" header="0.3" footer="0.3"/>
  <pageSetup paperSize="9" scale="50" orientation="portrait" r:id="rId1"/>
  <rowBreaks count="2" manualBreakCount="2">
    <brk id="77" max="16383" man="1"/>
    <brk id="148" max="16383" man="1"/>
  </rowBreaks>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A8ACF163-751C-42B1-8295-390539A00597}">
          <x14:formula1>
            <xm:f>'drop downs'!$E$1:$E$6</xm:f>
          </x14:formula1>
          <xm:sqref>F6:H6</xm:sqref>
        </x14:dataValidation>
        <x14:dataValidation type="list" allowBlank="1" showInputMessage="1" showErrorMessage="1" xr:uid="{F632636D-9DBA-41AE-9CE9-ACCFE3C86646}">
          <x14:formula1>
            <xm:f>'drop downs'!$N$1:$N$2</xm:f>
          </x14:formula1>
          <xm:sqref>F8:H8</xm:sqref>
        </x14:dataValidation>
        <x14:dataValidation type="list" allowBlank="1" showInputMessage="1" showErrorMessage="1" xr:uid="{34F9333C-3065-4203-B601-2DCE27349C57}">
          <x14:formula1>
            <xm:f>'drop downs'!$L$1:$L$4</xm:f>
          </x14:formula1>
          <xm:sqref>F7:H7</xm:sqref>
        </x14:dataValidation>
        <x14:dataValidation type="list" allowBlank="1" showInputMessage="1" showErrorMessage="1" xr:uid="{BA460554-7BEA-4216-88FF-ABED3CB0D35B}">
          <x14:formula1>
            <xm:f>'drop downs'!$J$1:$J$2</xm:f>
          </x14:formula1>
          <xm:sqref>J13:J15 I111 I107 I98 I103</xm:sqref>
        </x14:dataValidation>
        <x14:dataValidation type="list" allowBlank="1" showInputMessage="1" showErrorMessage="1" xr:uid="{A3B295E8-0A90-4A7F-A4B1-FD86BD10E2F1}">
          <x14:formula1>
            <xm:f>'drop downs'!$G$1:$G$8</xm:f>
          </x14:formula1>
          <xm:sqref>F11:H11</xm:sqref>
        </x14:dataValidation>
        <x14:dataValidation type="list" allowBlank="1" showInputMessage="1" showErrorMessage="1" xr:uid="{A26156E0-A119-490A-9EC4-698B0AE3254C}">
          <x14:formula1>
            <xm:f>'drop downs'!$B$1:$B$5</xm:f>
          </x14:formula1>
          <xm:sqref>F9:H9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7360D-ED6D-4816-A0A5-C10CD5F723D9}">
  <dimension ref="B1:U170"/>
  <sheetViews>
    <sheetView showGridLines="0" topLeftCell="A87" zoomScale="120" zoomScaleNormal="120" zoomScalePageLayoutView="125" workbookViewId="0">
      <selection activeCell="D59" sqref="D59:K59"/>
    </sheetView>
  </sheetViews>
  <sheetFormatPr defaultColWidth="9.140625" defaultRowHeight="12.75" x14ac:dyDescent="0.2"/>
  <cols>
    <col min="1" max="1" width="9.140625" style="31"/>
    <col min="2" max="2" width="31.85546875" style="31" customWidth="1"/>
    <col min="3" max="3" width="3.140625" style="31" customWidth="1"/>
    <col min="4" max="4" width="7.5703125" style="31" customWidth="1"/>
    <col min="5" max="5" width="8.5703125" style="31" customWidth="1"/>
    <col min="6" max="6" width="11.7109375" style="31" bestFit="1" customWidth="1"/>
    <col min="7" max="7" width="11" style="31" customWidth="1"/>
    <col min="8" max="8" width="8.85546875" style="31" customWidth="1"/>
    <col min="9" max="9" width="11.28515625" style="31" customWidth="1"/>
    <col min="10" max="12" width="9.140625" style="31"/>
    <col min="13" max="13" width="9.140625" style="31" customWidth="1"/>
    <col min="14" max="14" width="14.140625" style="31" customWidth="1"/>
    <col min="15" max="15" width="12.28515625" style="31" customWidth="1"/>
    <col min="16" max="17" width="9.7109375" style="31" customWidth="1"/>
    <col min="18" max="18" width="9.140625" style="32" customWidth="1"/>
    <col min="19" max="36" width="9.140625" style="31" customWidth="1"/>
    <col min="37" max="16384" width="9.140625" style="31"/>
  </cols>
  <sheetData>
    <row r="1" spans="2:18" ht="21" x14ac:dyDescent="0.35">
      <c r="B1" s="456" t="s">
        <v>331</v>
      </c>
      <c r="C1" s="457"/>
      <c r="D1" s="457"/>
      <c r="E1" s="457"/>
      <c r="F1" s="457"/>
      <c r="G1" s="457"/>
      <c r="H1" s="457"/>
      <c r="I1" s="457"/>
      <c r="J1" s="457"/>
      <c r="K1" s="457"/>
      <c r="L1" s="458"/>
    </row>
    <row r="2" spans="2:18" ht="13.5" thickBot="1" x14ac:dyDescent="0.25">
      <c r="B2" s="45"/>
      <c r="C2" s="46"/>
      <c r="D2" s="46"/>
      <c r="E2" s="46"/>
      <c r="F2" s="46"/>
      <c r="G2" s="46"/>
      <c r="H2" s="46"/>
      <c r="I2" s="47"/>
      <c r="J2" s="46"/>
      <c r="K2" s="46"/>
      <c r="L2" s="48"/>
      <c r="R2" s="33" t="s">
        <v>41</v>
      </c>
    </row>
    <row r="3" spans="2:18" ht="16.5" thickBot="1" x14ac:dyDescent="0.3">
      <c r="B3" s="84" t="s">
        <v>2</v>
      </c>
      <c r="C3" s="63"/>
      <c r="D3" s="63"/>
      <c r="E3" s="462" t="s">
        <v>4</v>
      </c>
      <c r="F3" s="463"/>
      <c r="G3" s="464"/>
      <c r="H3" s="68" t="str">
        <f>IF(E3='drop downs'!A2,"Private Sale - Quote only and Premiums subject to documentation","")</f>
        <v/>
      </c>
      <c r="I3" s="64"/>
      <c r="J3" s="130" t="s">
        <v>319</v>
      </c>
      <c r="K3" s="64"/>
      <c r="L3" s="48"/>
      <c r="R3" s="32" t="s">
        <v>79</v>
      </c>
    </row>
    <row r="4" spans="2:18" ht="16.5" thickBot="1" x14ac:dyDescent="0.3">
      <c r="B4" s="84" t="s">
        <v>325</v>
      </c>
      <c r="C4" s="63"/>
      <c r="D4" s="63"/>
      <c r="E4" s="465">
        <f ca="1">TODAY()</f>
        <v>46308</v>
      </c>
      <c r="F4" s="466"/>
      <c r="G4" s="467"/>
      <c r="H4" s="64" t="str">
        <f ca="1">IF(M4&gt;14,"Premiums are subect to referral due to time since sale","")</f>
        <v/>
      </c>
      <c r="I4" s="63"/>
      <c r="J4" s="130" t="s">
        <v>321</v>
      </c>
      <c r="K4" s="63"/>
      <c r="L4" s="48"/>
      <c r="M4" s="31">
        <f ca="1">SUM(N4-E4)</f>
        <v>0</v>
      </c>
      <c r="N4" s="34">
        <f ca="1">TODAY()</f>
        <v>46308</v>
      </c>
      <c r="O4" s="34"/>
      <c r="P4" s="34"/>
      <c r="Q4" s="34"/>
      <c r="R4" s="32" t="s">
        <v>80</v>
      </c>
    </row>
    <row r="5" spans="2:18" ht="16.5" thickBot="1" x14ac:dyDescent="0.3">
      <c r="B5" s="84" t="s">
        <v>48</v>
      </c>
      <c r="C5" s="63"/>
      <c r="D5" s="63"/>
      <c r="E5" s="462"/>
      <c r="F5" s="463"/>
      <c r="G5" s="464"/>
      <c r="H5" s="63"/>
      <c r="I5" s="63"/>
      <c r="J5" s="131"/>
      <c r="K5" s="63"/>
      <c r="L5" s="48"/>
    </row>
    <row r="6" spans="2:18" ht="16.5" thickBot="1" x14ac:dyDescent="0.3">
      <c r="B6" s="84" t="s">
        <v>0</v>
      </c>
      <c r="C6" s="63"/>
      <c r="D6" s="63"/>
      <c r="E6" s="468" t="s">
        <v>360</v>
      </c>
      <c r="F6" s="469"/>
      <c r="G6" s="470"/>
      <c r="H6" s="64" t="str">
        <f>IF(E6="Other","Refer","")</f>
        <v/>
      </c>
      <c r="I6" s="63"/>
      <c r="J6" s="130" t="s">
        <v>320</v>
      </c>
      <c r="K6" s="63"/>
      <c r="L6" s="48"/>
      <c r="O6" s="31">
        <f>IF(E6="Ram",1,0)</f>
        <v>0</v>
      </c>
      <c r="R6" s="32" t="s">
        <v>91</v>
      </c>
    </row>
    <row r="7" spans="2:18" ht="16.5" thickBot="1" x14ac:dyDescent="0.3">
      <c r="B7" s="84" t="s">
        <v>1</v>
      </c>
      <c r="C7" s="63"/>
      <c r="D7" s="63"/>
      <c r="E7" s="468" t="s">
        <v>50</v>
      </c>
      <c r="F7" s="469"/>
      <c r="G7" s="470"/>
      <c r="H7" s="477" t="str">
        <f>IF(O8&gt;0,"Select Mortality option only","")</f>
        <v/>
      </c>
      <c r="I7" s="478"/>
      <c r="J7" s="63"/>
      <c r="K7" s="63"/>
      <c r="L7" s="48"/>
      <c r="O7" s="31">
        <f>IF(E6="ewe",1,0)</f>
        <v>0</v>
      </c>
      <c r="P7" s="31">
        <f>IF(E6="Cow",1,0)</f>
        <v>0</v>
      </c>
      <c r="R7" s="32" t="s">
        <v>42</v>
      </c>
    </row>
    <row r="8" spans="2:18" ht="16.5" thickBot="1" x14ac:dyDescent="0.3">
      <c r="B8" s="84" t="s">
        <v>56</v>
      </c>
      <c r="C8" s="63"/>
      <c r="D8" s="63"/>
      <c r="E8" s="471" t="s">
        <v>65</v>
      </c>
      <c r="F8" s="472"/>
      <c r="G8" s="473"/>
      <c r="H8" s="63"/>
      <c r="I8" s="63"/>
      <c r="J8" s="63"/>
      <c r="K8" s="63"/>
      <c r="L8" s="48"/>
      <c r="O8" s="38">
        <f>SUM(O7+P7+O6)</f>
        <v>0</v>
      </c>
      <c r="R8" s="32" t="s">
        <v>55</v>
      </c>
    </row>
    <row r="9" spans="2:18" ht="16.5" thickBot="1" x14ac:dyDescent="0.3">
      <c r="B9" s="77"/>
      <c r="C9" s="63"/>
      <c r="D9" s="63"/>
      <c r="E9" s="63"/>
      <c r="F9" s="63"/>
      <c r="G9" s="63"/>
      <c r="H9" s="63"/>
      <c r="I9" s="63"/>
      <c r="J9" s="63"/>
      <c r="K9" s="63"/>
      <c r="L9" s="48"/>
    </row>
    <row r="10" spans="2:18" ht="16.5" thickBot="1" x14ac:dyDescent="0.3">
      <c r="B10" s="84" t="s">
        <v>43</v>
      </c>
      <c r="C10" s="63"/>
      <c r="D10" s="63"/>
      <c r="E10" s="468" t="s">
        <v>11</v>
      </c>
      <c r="F10" s="469"/>
      <c r="G10" s="470"/>
      <c r="H10" s="63"/>
      <c r="I10" s="63"/>
      <c r="J10" s="63"/>
      <c r="K10" s="63"/>
      <c r="L10" s="48"/>
    </row>
    <row r="11" spans="2:18" ht="15.75" x14ac:dyDescent="0.25">
      <c r="B11" s="62"/>
      <c r="C11" s="63"/>
      <c r="D11" s="63"/>
      <c r="E11" s="63"/>
      <c r="F11" s="63"/>
      <c r="G11" s="63"/>
      <c r="H11" s="63"/>
      <c r="I11" s="55"/>
      <c r="J11" s="63"/>
      <c r="K11" s="63"/>
      <c r="L11" s="48"/>
      <c r="R11" s="32" t="s">
        <v>46</v>
      </c>
    </row>
    <row r="12" spans="2:18" ht="15.75" x14ac:dyDescent="0.25">
      <c r="B12" s="65"/>
      <c r="C12" s="63"/>
      <c r="D12" s="63"/>
      <c r="E12" s="63"/>
      <c r="F12" s="63"/>
      <c r="G12" s="63"/>
      <c r="H12" s="63"/>
      <c r="I12" s="55"/>
      <c r="J12" s="69"/>
      <c r="K12" s="63"/>
      <c r="L12" s="48"/>
    </row>
    <row r="13" spans="2:18" ht="15.75" x14ac:dyDescent="0.25">
      <c r="B13" s="70"/>
      <c r="C13" s="71"/>
      <c r="D13" s="71"/>
      <c r="E13" s="72" t="s">
        <v>250</v>
      </c>
      <c r="F13" s="71" t="s">
        <v>17</v>
      </c>
      <c r="G13" s="71" t="s">
        <v>37</v>
      </c>
      <c r="H13" s="72" t="s">
        <v>251</v>
      </c>
      <c r="I13" s="71" t="s">
        <v>17</v>
      </c>
      <c r="J13" s="71" t="s">
        <v>37</v>
      </c>
      <c r="K13" s="63"/>
      <c r="L13" s="48"/>
    </row>
    <row r="14" spans="2:18" ht="15.75" x14ac:dyDescent="0.25">
      <c r="B14" s="132" t="s">
        <v>248</v>
      </c>
      <c r="C14" s="73"/>
      <c r="D14" s="73"/>
      <c r="E14" s="134"/>
      <c r="F14" s="135">
        <v>20000</v>
      </c>
      <c r="G14" s="74" t="str">
        <f>IF($I$21="No","$0",F14*20%)</f>
        <v>$0</v>
      </c>
      <c r="H14" s="134"/>
      <c r="I14" s="135"/>
      <c r="J14" s="74" t="str">
        <f>IF($I$21="No","$0",I14*20%)</f>
        <v>$0</v>
      </c>
      <c r="K14" s="63"/>
      <c r="L14" s="48"/>
    </row>
    <row r="15" spans="2:18" ht="15.75" x14ac:dyDescent="0.25">
      <c r="B15" s="132" t="s">
        <v>249</v>
      </c>
      <c r="C15" s="73"/>
      <c r="D15" s="73"/>
      <c r="E15" s="134"/>
      <c r="F15" s="135"/>
      <c r="G15" s="74" t="str">
        <f>IF($I$21="No","$0",F15*20%)</f>
        <v>$0</v>
      </c>
      <c r="H15" s="134"/>
      <c r="I15" s="135"/>
      <c r="J15" s="74" t="str">
        <f>IF($I$21="No","$0",I15*20%)</f>
        <v>$0</v>
      </c>
      <c r="K15" s="63"/>
      <c r="L15" s="48"/>
      <c r="R15" s="32" t="s">
        <v>44</v>
      </c>
    </row>
    <row r="16" spans="2:18" ht="15.75" x14ac:dyDescent="0.25">
      <c r="B16" s="56"/>
      <c r="C16" s="73"/>
      <c r="D16" s="73"/>
      <c r="E16" s="134"/>
      <c r="F16" s="135"/>
      <c r="G16" s="74" t="str">
        <f>IF($I$21="No","$0",F16*20%)</f>
        <v>$0</v>
      </c>
      <c r="H16" s="134"/>
      <c r="I16" s="135"/>
      <c r="J16" s="74" t="str">
        <f>IF($I$21="No","$0",I16*20%)</f>
        <v>$0</v>
      </c>
      <c r="K16" s="63"/>
      <c r="L16" s="48"/>
    </row>
    <row r="17" spans="2:21" ht="15.75" x14ac:dyDescent="0.25">
      <c r="B17" s="474" t="str">
        <f>IF(M28&gt;0,"Referral Required","")</f>
        <v/>
      </c>
      <c r="C17" s="73"/>
      <c r="D17" s="73"/>
      <c r="E17" s="134"/>
      <c r="F17" s="135"/>
      <c r="G17" s="74" t="str">
        <f>IF($I$21="No","$0",F17*20%)</f>
        <v>$0</v>
      </c>
      <c r="H17" s="134"/>
      <c r="I17" s="135"/>
      <c r="J17" s="74" t="str">
        <f>IF($I$21="No","$0",I17*20%)</f>
        <v>$0</v>
      </c>
      <c r="K17" s="63"/>
      <c r="L17" s="48"/>
      <c r="M17" s="35" t="s">
        <v>67</v>
      </c>
      <c r="N17" s="35" t="s">
        <v>76</v>
      </c>
    </row>
    <row r="18" spans="2:21" ht="15.75" x14ac:dyDescent="0.25">
      <c r="B18" s="474"/>
      <c r="C18" s="73"/>
      <c r="D18" s="73"/>
      <c r="E18" s="134"/>
      <c r="F18" s="135"/>
      <c r="G18" s="74" t="str">
        <f>IF($I$21="No","$0",F18*20%)</f>
        <v>$0</v>
      </c>
      <c r="H18" s="134"/>
      <c r="I18" s="135"/>
      <c r="J18" s="74" t="str">
        <f>IF($I$21="No","$0",I18*20%)</f>
        <v>$0</v>
      </c>
      <c r="K18" s="63"/>
      <c r="L18" s="48"/>
      <c r="M18" s="31">
        <f>IF(F14&gt;70000,1,0)</f>
        <v>0</v>
      </c>
      <c r="N18" s="31">
        <f>IF(F14&gt;35000,1,0)</f>
        <v>0</v>
      </c>
      <c r="O18" s="36" t="s">
        <v>60</v>
      </c>
      <c r="R18" s="32" t="s">
        <v>69</v>
      </c>
    </row>
    <row r="19" spans="2:21" ht="16.5" thickBot="1" x14ac:dyDescent="0.3">
      <c r="B19" s="56"/>
      <c r="C19" s="73"/>
      <c r="D19" s="73"/>
      <c r="E19" s="63"/>
      <c r="F19" s="63"/>
      <c r="G19" s="73"/>
      <c r="H19" s="73" t="s">
        <v>252</v>
      </c>
      <c r="I19" s="75" cm="1">
        <f t="array" ref="I19">SUM(F14:F18+I14:I18)</f>
        <v>20000</v>
      </c>
      <c r="J19" s="63"/>
      <c r="K19" s="63"/>
      <c r="L19" s="48"/>
      <c r="M19" s="31">
        <f>IF(F15&gt;70000,1,0)</f>
        <v>0</v>
      </c>
      <c r="N19" s="31">
        <f>IF(F15&gt;35000,1,0)</f>
        <v>0</v>
      </c>
      <c r="O19" s="37">
        <f>SUM('Rates &amp; Rating'!C22)</f>
        <v>0.14249999999999999</v>
      </c>
    </row>
    <row r="20" spans="2:21" ht="16.5" thickBot="1" x14ac:dyDescent="0.3">
      <c r="B20" s="56"/>
      <c r="C20" s="73"/>
      <c r="D20" s="73"/>
      <c r="E20" s="63"/>
      <c r="F20" s="63"/>
      <c r="G20" s="63"/>
      <c r="H20" s="63"/>
      <c r="I20" s="64"/>
      <c r="J20" s="63"/>
      <c r="K20" s="63"/>
      <c r="L20" s="48"/>
      <c r="M20" s="31">
        <f>IF(F16&gt;70000,1,0)</f>
        <v>0</v>
      </c>
      <c r="N20" s="31">
        <f>IF(F16&gt;35000,1,0)</f>
        <v>0</v>
      </c>
      <c r="R20" s="32" t="s">
        <v>71</v>
      </c>
    </row>
    <row r="21" spans="2:21" ht="16.5" thickBot="1" x14ac:dyDescent="0.3">
      <c r="B21" s="454" t="s">
        <v>324</v>
      </c>
      <c r="C21" s="455"/>
      <c r="D21" s="455"/>
      <c r="E21" s="455"/>
      <c r="F21" s="455"/>
      <c r="G21" s="455"/>
      <c r="H21" s="133" t="s">
        <v>318</v>
      </c>
      <c r="I21" s="136" t="s">
        <v>21</v>
      </c>
      <c r="J21" s="63"/>
      <c r="K21" s="63"/>
      <c r="L21" s="48"/>
      <c r="M21" s="31">
        <f t="shared" ref="M21:M22" si="0">IF(F17&gt;70000,1,0)</f>
        <v>0</v>
      </c>
      <c r="N21" s="31">
        <f t="shared" ref="N21:N22" si="1">IF(F17&gt;35000,1,0)</f>
        <v>0</v>
      </c>
    </row>
    <row r="22" spans="2:21" ht="16.5" thickBot="1" x14ac:dyDescent="0.3">
      <c r="B22" s="77" t="str">
        <f>IF(E5='drop downs'!C1,'drop downs'!Q1,"Postcode of departure")</f>
        <v xml:space="preserve">Are all animals over 6 month old, and under 7 years (Cattle) 4 year (Sheep) of age? </v>
      </c>
      <c r="C22" s="63"/>
      <c r="D22" s="63"/>
      <c r="E22" s="63"/>
      <c r="F22" s="63"/>
      <c r="G22" s="63"/>
      <c r="H22" s="133" t="s">
        <v>318</v>
      </c>
      <c r="I22" s="136" t="s">
        <v>20</v>
      </c>
      <c r="J22" s="63"/>
      <c r="K22" s="63"/>
      <c r="L22" s="48"/>
      <c r="M22" s="31">
        <f t="shared" si="0"/>
        <v>0</v>
      </c>
      <c r="N22" s="31">
        <f t="shared" si="1"/>
        <v>0</v>
      </c>
      <c r="R22" s="32" t="s">
        <v>82</v>
      </c>
    </row>
    <row r="23" spans="2:21" ht="16.5" thickBot="1" x14ac:dyDescent="0.3">
      <c r="B23" s="77" t="s">
        <v>25</v>
      </c>
      <c r="C23" s="63"/>
      <c r="D23" s="63"/>
      <c r="E23" s="63"/>
      <c r="F23" s="63"/>
      <c r="G23" s="63"/>
      <c r="H23" s="133" t="s">
        <v>318</v>
      </c>
      <c r="I23" s="136" t="s">
        <v>21</v>
      </c>
      <c r="J23" s="63"/>
      <c r="K23" s="63"/>
      <c r="L23" s="48"/>
      <c r="M23" s="31">
        <f>IF(I14&gt;70000,1,0)</f>
        <v>0</v>
      </c>
      <c r="N23" s="31">
        <f>IF(I14&gt;35000,1,0)</f>
        <v>0</v>
      </c>
    </row>
    <row r="24" spans="2:21" ht="16.5" thickBot="1" x14ac:dyDescent="0.3">
      <c r="B24" s="77" t="str">
        <f>IF(E5='drop downs'!C1,'drop downs'!Q4,"")</f>
        <v>Have you had 2 or more livestock Insurance claims in the past 5 years?</v>
      </c>
      <c r="C24" s="63"/>
      <c r="D24" s="63"/>
      <c r="E24" s="63"/>
      <c r="F24" s="63"/>
      <c r="G24" s="64" t="str">
        <f>IF(I24="Yes","Referral Required","")</f>
        <v/>
      </c>
      <c r="H24" s="64"/>
      <c r="I24" s="136" t="s">
        <v>21</v>
      </c>
      <c r="J24" s="63"/>
      <c r="K24" s="63"/>
      <c r="L24" s="48"/>
      <c r="M24" s="31">
        <f>IF(I15&gt;70000,1,0)</f>
        <v>0</v>
      </c>
      <c r="N24" s="31">
        <f>IF(I15&gt;35000,1,0)</f>
        <v>0</v>
      </c>
    </row>
    <row r="25" spans="2:21" ht="16.5" thickBot="1" x14ac:dyDescent="0.3">
      <c r="B25" s="65"/>
      <c r="C25" s="63"/>
      <c r="D25" s="63"/>
      <c r="E25" s="63"/>
      <c r="F25" s="63"/>
      <c r="G25" s="63"/>
      <c r="H25" s="63"/>
      <c r="I25" s="55"/>
      <c r="J25" s="63"/>
      <c r="K25" s="63"/>
      <c r="L25" s="48"/>
      <c r="M25" s="31">
        <f>IF(I16&gt;70000,1,0)</f>
        <v>0</v>
      </c>
      <c r="N25" s="31">
        <f>IF(I16&gt;35000,1,0)</f>
        <v>0</v>
      </c>
    </row>
    <row r="26" spans="2:21" ht="16.5" thickBot="1" x14ac:dyDescent="0.3">
      <c r="B26" s="62" t="s">
        <v>18</v>
      </c>
      <c r="C26" s="69"/>
      <c r="D26" s="69"/>
      <c r="E26" s="63"/>
      <c r="F26" s="475">
        <f>SUM(N39)</f>
        <v>2849.9999999999995</v>
      </c>
      <c r="G26" s="476"/>
      <c r="H26" s="63"/>
      <c r="I26" s="63"/>
      <c r="J26" s="63"/>
      <c r="K26" s="63"/>
      <c r="L26" s="48"/>
      <c r="M26" s="31">
        <f>IF(I17&gt;70000,1,0)</f>
        <v>0</v>
      </c>
      <c r="N26" s="31">
        <f>IF(I17&gt;35000,1,0)</f>
        <v>0</v>
      </c>
    </row>
    <row r="27" spans="2:21" ht="16.5" thickBot="1" x14ac:dyDescent="0.3">
      <c r="B27" s="62" t="s">
        <v>33</v>
      </c>
      <c r="C27" s="69"/>
      <c r="D27" s="69"/>
      <c r="E27" s="63"/>
      <c r="F27" s="475">
        <f>SUM(F26*10%)</f>
        <v>284.99999999999994</v>
      </c>
      <c r="G27" s="476"/>
      <c r="H27" s="63"/>
      <c r="I27" s="63"/>
      <c r="J27" s="63"/>
      <c r="K27" s="63"/>
      <c r="L27" s="48"/>
      <c r="M27" s="31">
        <f>IF(I18&gt;70000,1,0)</f>
        <v>0</v>
      </c>
      <c r="N27" s="31">
        <f>IF(I18&gt;35000,1,0)</f>
        <v>0</v>
      </c>
    </row>
    <row r="28" spans="2:21" ht="16.5" thickBot="1" x14ac:dyDescent="0.3">
      <c r="B28" s="62" t="s">
        <v>34</v>
      </c>
      <c r="C28" s="69"/>
      <c r="D28" s="69"/>
      <c r="E28" s="63"/>
      <c r="F28" s="475" cm="1">
        <f t="array" ref="F28">SUM((F26:G27)*H28)</f>
        <v>0</v>
      </c>
      <c r="G28" s="476"/>
      <c r="H28" s="76">
        <f>IF(E5='drop downs'!C2,0%,P41)</f>
        <v>0</v>
      </c>
      <c r="I28" s="63"/>
      <c r="J28" s="63"/>
      <c r="K28" s="63"/>
      <c r="L28" s="48"/>
      <c r="M28" s="44">
        <f>SUM(M18:M27)</f>
        <v>0</v>
      </c>
      <c r="N28" s="38">
        <f>SUM(N18:N27)</f>
        <v>0</v>
      </c>
      <c r="P28" s="37">
        <v>0</v>
      </c>
    </row>
    <row r="29" spans="2:21" ht="16.5" thickBot="1" x14ac:dyDescent="0.3">
      <c r="B29" s="62" t="s">
        <v>312</v>
      </c>
      <c r="C29" s="69"/>
      <c r="D29" s="69"/>
      <c r="E29" s="63"/>
      <c r="F29" s="475">
        <f>IF(I19&gt;0,82.5,0)</f>
        <v>82.5</v>
      </c>
      <c r="G29" s="476"/>
      <c r="H29" s="63"/>
      <c r="I29" s="63"/>
      <c r="J29" s="63"/>
      <c r="K29" s="63"/>
      <c r="L29" s="48"/>
    </row>
    <row r="30" spans="2:21" ht="16.5" thickBot="1" x14ac:dyDescent="0.3">
      <c r="B30" s="62" t="s">
        <v>35</v>
      </c>
      <c r="C30" s="69"/>
      <c r="D30" s="69"/>
      <c r="E30" s="63"/>
      <c r="F30" s="481">
        <f>SUM(F26:G29)</f>
        <v>3217.4999999999995</v>
      </c>
      <c r="G30" s="482"/>
      <c r="H30" s="68" t="str">
        <f>IF(E3='drop downs'!A2,"Private Sale - Quote only and Premiums subject to documentation","")</f>
        <v/>
      </c>
      <c r="I30" s="64" t="s">
        <v>94</v>
      </c>
      <c r="J30" s="64" t="str">
        <f>CONCATENATE(O30)</f>
        <v xml:space="preserve">Rural Affinity Insurance </v>
      </c>
      <c r="K30" s="64"/>
      <c r="L30" s="48"/>
      <c r="O30" s="32" t="str">
        <f>IF(U30&gt;1,'Rates &amp; Rating'!O7,P30)</f>
        <v xml:space="preserve">Rural Affinity Insurance </v>
      </c>
      <c r="P30" s="64" t="str">
        <f>IF(N39&gt;910,'Rates &amp; Rating'!O8,'Rates &amp; Rating'!O7)</f>
        <v xml:space="preserve">Rural Affinity Insurance </v>
      </c>
      <c r="S30" s="31">
        <f>IF(E6="ram",1,0)</f>
        <v>0</v>
      </c>
      <c r="T30" s="31">
        <f>IF(E7='drop downs'!F1,1,0)</f>
        <v>0</v>
      </c>
      <c r="U30" s="38">
        <f>SUM(S30+T30)</f>
        <v>0</v>
      </c>
    </row>
    <row r="31" spans="2:21" ht="15.75" x14ac:dyDescent="0.25">
      <c r="B31" s="65"/>
      <c r="C31" s="63"/>
      <c r="D31" s="63"/>
      <c r="E31" s="63"/>
      <c r="F31" s="63"/>
      <c r="G31" s="63"/>
      <c r="H31" s="63"/>
      <c r="I31" s="63"/>
      <c r="J31" s="63"/>
      <c r="K31" s="63"/>
      <c r="L31" s="48"/>
      <c r="M31" s="32" t="s">
        <v>81</v>
      </c>
      <c r="R31" s="32" t="s">
        <v>19</v>
      </c>
    </row>
    <row r="32" spans="2:21" ht="13.5" thickBot="1" x14ac:dyDescent="0.25">
      <c r="B32" s="49"/>
      <c r="C32" s="50"/>
      <c r="D32" s="50"/>
      <c r="E32" s="51"/>
      <c r="F32" s="51"/>
      <c r="G32" s="51"/>
      <c r="H32" s="51"/>
      <c r="I32" s="51"/>
      <c r="J32" s="51"/>
      <c r="K32" s="51"/>
      <c r="L32" s="52"/>
    </row>
    <row r="33" spans="2:18" ht="13.5" thickBot="1" x14ac:dyDescent="0.25">
      <c r="B33" s="97"/>
      <c r="C33" s="98"/>
      <c r="D33" s="98"/>
      <c r="E33" s="53"/>
      <c r="F33" s="53"/>
      <c r="G33" s="53"/>
      <c r="H33" s="53"/>
      <c r="I33" s="53"/>
      <c r="J33" s="53"/>
      <c r="K33" s="53"/>
      <c r="L33" s="54"/>
      <c r="M33" s="32" t="s">
        <v>314</v>
      </c>
      <c r="O33" s="37">
        <f>SUM('Rates &amp; Rating'!C26)</f>
        <v>0</v>
      </c>
      <c r="R33" s="32" t="s">
        <v>73</v>
      </c>
    </row>
    <row r="34" spans="2:18" ht="21.75" thickBot="1" x14ac:dyDescent="0.4">
      <c r="B34" s="459" t="s">
        <v>265</v>
      </c>
      <c r="C34" s="460"/>
      <c r="D34" s="460"/>
      <c r="E34" s="460"/>
      <c r="F34" s="460"/>
      <c r="G34" s="460"/>
      <c r="H34" s="460"/>
      <c r="I34" s="460"/>
      <c r="J34" s="460"/>
      <c r="K34" s="460"/>
      <c r="L34" s="461"/>
      <c r="O34" s="39">
        <f>SUM(O19+O33)</f>
        <v>0.14249999999999999</v>
      </c>
    </row>
    <row r="35" spans="2:18" ht="16.5" thickBot="1" x14ac:dyDescent="0.3">
      <c r="B35" s="65"/>
      <c r="C35" s="63"/>
      <c r="D35" s="63"/>
      <c r="E35" s="63"/>
      <c r="F35" s="63"/>
      <c r="G35" s="63"/>
      <c r="H35" s="63"/>
      <c r="I35" s="63"/>
      <c r="J35" s="63"/>
      <c r="K35" s="63"/>
      <c r="L35" s="67"/>
      <c r="M35" s="32" t="s">
        <v>315</v>
      </c>
      <c r="O35" s="40">
        <f>IF(I21="Yes",Q35,O34)</f>
        <v>0.14249999999999999</v>
      </c>
      <c r="Q35" s="39">
        <f>SUM(O34-(O34*20%))</f>
        <v>0.11399999999999999</v>
      </c>
      <c r="R35" s="32" t="s">
        <v>74</v>
      </c>
    </row>
    <row r="36" spans="2:18" ht="16.5" thickBot="1" x14ac:dyDescent="0.3">
      <c r="B36" s="77" t="s">
        <v>261</v>
      </c>
      <c r="C36" s="484"/>
      <c r="D36" s="485"/>
      <c r="E36" s="485"/>
      <c r="F36" s="486"/>
      <c r="G36" s="99"/>
      <c r="H36" s="99"/>
      <c r="I36" s="99"/>
      <c r="J36" s="99"/>
      <c r="K36" s="99"/>
      <c r="L36" s="67"/>
      <c r="O36" s="41"/>
      <c r="Q36" s="37"/>
    </row>
    <row r="37" spans="2:18" ht="16.5" thickBot="1" x14ac:dyDescent="0.3">
      <c r="B37" s="88"/>
      <c r="C37" s="99"/>
      <c r="D37" s="99"/>
      <c r="E37" s="99"/>
      <c r="F37" s="99"/>
      <c r="G37" s="99"/>
      <c r="H37" s="99"/>
      <c r="I37" s="99"/>
      <c r="J37" s="99"/>
      <c r="K37" s="99"/>
      <c r="L37" s="67"/>
      <c r="M37" s="32" t="s">
        <v>81</v>
      </c>
      <c r="O37" s="41"/>
      <c r="Q37" s="37"/>
      <c r="R37" s="32" t="s">
        <v>83</v>
      </c>
    </row>
    <row r="38" spans="2:18" ht="16.5" thickBot="1" x14ac:dyDescent="0.3">
      <c r="B38" s="77" t="s">
        <v>262</v>
      </c>
      <c r="C38" s="484"/>
      <c r="D38" s="485"/>
      <c r="E38" s="485"/>
      <c r="F38" s="486"/>
      <c r="G38" s="99"/>
      <c r="H38" s="99"/>
      <c r="I38" s="99"/>
      <c r="J38" s="99"/>
      <c r="K38" s="99"/>
      <c r="L38" s="67"/>
      <c r="O38" s="31" t="s">
        <v>323</v>
      </c>
      <c r="P38" s="31" t="s">
        <v>322</v>
      </c>
      <c r="Q38" s="125">
        <f>SUM(Q39+(Q39*'Rates &amp; Rating'!T2))</f>
        <v>0.15062249999999999</v>
      </c>
      <c r="R38" s="32" t="s">
        <v>316</v>
      </c>
    </row>
    <row r="39" spans="2:18" ht="16.5" thickBot="1" x14ac:dyDescent="0.3">
      <c r="B39" s="88"/>
      <c r="C39" s="99"/>
      <c r="D39" s="99"/>
      <c r="E39" s="99"/>
      <c r="F39" s="99"/>
      <c r="G39" s="99"/>
      <c r="H39" s="99"/>
      <c r="I39" s="99"/>
      <c r="J39" s="99"/>
      <c r="K39" s="99"/>
      <c r="L39" s="67"/>
      <c r="N39" s="128">
        <f>IF(P39&lt;O39,O39,P39)</f>
        <v>2849.9999999999995</v>
      </c>
      <c r="O39" s="127">
        <v>910</v>
      </c>
      <c r="P39" s="126">
        <f>SUM(I19*Q39)</f>
        <v>2849.9999999999995</v>
      </c>
      <c r="Q39" s="39">
        <f>SUM(O35+(O35*P28))</f>
        <v>0.14249999999999999</v>
      </c>
      <c r="R39" s="32" t="s">
        <v>84</v>
      </c>
    </row>
    <row r="40" spans="2:18" ht="16.5" thickBot="1" x14ac:dyDescent="0.3">
      <c r="B40" s="77" t="s">
        <v>38</v>
      </c>
      <c r="C40" s="484"/>
      <c r="D40" s="485"/>
      <c r="E40" s="485"/>
      <c r="F40" s="486"/>
      <c r="G40" s="99"/>
      <c r="H40" s="90" t="s">
        <v>254</v>
      </c>
      <c r="I40" s="484"/>
      <c r="J40" s="486"/>
      <c r="K40" s="99"/>
      <c r="L40" s="67"/>
    </row>
    <row r="41" spans="2:18" ht="16.5" thickBot="1" x14ac:dyDescent="0.3">
      <c r="B41" s="89" t="s">
        <v>39</v>
      </c>
      <c r="C41" s="484"/>
      <c r="D41" s="485"/>
      <c r="E41" s="485"/>
      <c r="F41" s="486"/>
      <c r="G41" s="99"/>
      <c r="H41" s="90"/>
      <c r="I41" s="99"/>
      <c r="J41" s="99"/>
      <c r="K41" s="99"/>
      <c r="L41" s="67"/>
      <c r="P41" s="42">
        <f>LOOKUP(E10,'drop downs'!G1:G8,'drop downs'!H1:H8)</f>
        <v>0</v>
      </c>
      <c r="R41" s="43" t="s">
        <v>92</v>
      </c>
    </row>
    <row r="42" spans="2:18" ht="16.5" thickBot="1" x14ac:dyDescent="0.3">
      <c r="B42" s="77"/>
      <c r="C42" s="99"/>
      <c r="D42" s="99"/>
      <c r="E42" s="99"/>
      <c r="F42" s="99"/>
      <c r="G42" s="99"/>
      <c r="H42" s="90"/>
      <c r="I42" s="99"/>
      <c r="J42" s="99"/>
      <c r="K42" s="100"/>
      <c r="L42" s="67"/>
    </row>
    <row r="43" spans="2:18" ht="16.5" thickBot="1" x14ac:dyDescent="0.3">
      <c r="B43" s="77" t="s">
        <v>40</v>
      </c>
      <c r="C43" s="487"/>
      <c r="D43" s="488"/>
      <c r="E43" s="488"/>
      <c r="F43" s="489"/>
      <c r="G43" s="99"/>
      <c r="H43" s="90" t="s">
        <v>255</v>
      </c>
      <c r="I43" s="484"/>
      <c r="J43" s="485"/>
      <c r="K43" s="486"/>
      <c r="L43" s="67"/>
      <c r="R43" s="32" t="s">
        <v>85</v>
      </c>
    </row>
    <row r="44" spans="2:18" ht="16.5" thickBot="1" x14ac:dyDescent="0.3">
      <c r="B44" s="89"/>
      <c r="C44" s="487"/>
      <c r="D44" s="488"/>
      <c r="E44" s="488"/>
      <c r="F44" s="489"/>
      <c r="G44" s="99"/>
      <c r="H44" s="90" t="s">
        <v>256</v>
      </c>
      <c r="I44" s="484"/>
      <c r="J44" s="485"/>
      <c r="K44" s="486"/>
      <c r="L44" s="67"/>
    </row>
    <row r="45" spans="2:18" ht="16.5" thickBot="1" x14ac:dyDescent="0.3">
      <c r="B45" s="77"/>
      <c r="C45" s="99"/>
      <c r="D45" s="99"/>
      <c r="E45" s="99"/>
      <c r="F45" s="99"/>
      <c r="G45" s="99"/>
      <c r="H45" s="90"/>
      <c r="I45" s="99"/>
      <c r="J45" s="99"/>
      <c r="K45" s="100"/>
      <c r="L45" s="67"/>
    </row>
    <row r="46" spans="2:18" ht="16.5" thickBot="1" x14ac:dyDescent="0.3">
      <c r="B46" s="77" t="s">
        <v>75</v>
      </c>
      <c r="C46" s="487"/>
      <c r="D46" s="488"/>
      <c r="E46" s="488"/>
      <c r="F46" s="489"/>
      <c r="G46" s="99"/>
      <c r="H46" s="90" t="s">
        <v>257</v>
      </c>
      <c r="I46" s="484"/>
      <c r="J46" s="485"/>
      <c r="K46" s="486"/>
      <c r="L46" s="67"/>
    </row>
    <row r="47" spans="2:18" ht="16.5" thickBot="1" x14ac:dyDescent="0.3">
      <c r="B47" s="77"/>
      <c r="C47" s="99"/>
      <c r="D47" s="99"/>
      <c r="E47" s="99"/>
      <c r="F47" s="99"/>
      <c r="G47" s="99"/>
      <c r="H47" s="99"/>
      <c r="I47" s="99"/>
      <c r="J47" s="99"/>
      <c r="K47" s="99"/>
      <c r="L47" s="67"/>
    </row>
    <row r="48" spans="2:18" ht="16.5" thickBot="1" x14ac:dyDescent="0.3">
      <c r="B48" s="77" t="s">
        <v>258</v>
      </c>
      <c r="C48" s="500"/>
      <c r="D48" s="501"/>
      <c r="E48" s="501"/>
      <c r="F48" s="502"/>
      <c r="G48" s="99"/>
      <c r="H48" s="99"/>
      <c r="I48" s="99"/>
      <c r="J48" s="99"/>
      <c r="K48" s="99"/>
      <c r="L48" s="67"/>
    </row>
    <row r="49" spans="2:18" ht="15.75" x14ac:dyDescent="0.25">
      <c r="B49" s="65"/>
      <c r="C49" s="63"/>
      <c r="D49" s="63"/>
      <c r="E49" s="63"/>
      <c r="F49" s="63"/>
      <c r="G49" s="63"/>
      <c r="H49" s="63"/>
      <c r="I49" s="63"/>
      <c r="J49" s="63"/>
      <c r="K49" s="66"/>
      <c r="L49" s="67"/>
    </row>
    <row r="50" spans="2:18" ht="15.75" x14ac:dyDescent="0.25">
      <c r="B50" s="68" t="s">
        <v>22</v>
      </c>
      <c r="C50" s="64"/>
      <c r="D50" s="64"/>
      <c r="E50" s="63"/>
      <c r="F50" s="63"/>
      <c r="G50" s="63"/>
      <c r="H50" s="63"/>
      <c r="I50" s="63"/>
      <c r="J50" s="63"/>
      <c r="K50" s="63"/>
      <c r="L50" s="67"/>
    </row>
    <row r="51" spans="2:18" ht="16.5" thickBot="1" x14ac:dyDescent="0.3">
      <c r="B51" s="77" t="s">
        <v>27</v>
      </c>
      <c r="C51" s="55"/>
      <c r="D51" s="55"/>
      <c r="E51" s="55"/>
      <c r="F51" s="55"/>
      <c r="G51" s="55"/>
      <c r="H51" s="55"/>
      <c r="I51" s="55"/>
      <c r="J51" s="55"/>
      <c r="K51" s="55"/>
      <c r="L51" s="67"/>
    </row>
    <row r="52" spans="2:18" ht="16.5" thickBot="1" x14ac:dyDescent="0.3">
      <c r="B52" s="77" t="s">
        <v>28</v>
      </c>
      <c r="C52" s="55"/>
      <c r="D52" s="55"/>
      <c r="E52" s="55"/>
      <c r="F52" s="55"/>
      <c r="G52" s="55"/>
      <c r="H52" s="55"/>
      <c r="I52" s="136" t="s">
        <v>21</v>
      </c>
      <c r="J52" s="55"/>
      <c r="K52" s="55"/>
      <c r="L52" s="67"/>
    </row>
    <row r="53" spans="2:18" ht="16.5" thickBot="1" x14ac:dyDescent="0.3">
      <c r="B53" s="77"/>
      <c r="C53" s="55"/>
      <c r="D53" s="55"/>
      <c r="E53" s="55"/>
      <c r="F53" s="55"/>
      <c r="G53" s="55"/>
      <c r="H53" s="55"/>
      <c r="I53" s="85"/>
      <c r="J53" s="55"/>
      <c r="K53" s="55"/>
      <c r="L53" s="67"/>
    </row>
    <row r="54" spans="2:18" ht="16.5" thickBot="1" x14ac:dyDescent="0.3">
      <c r="B54" s="77" t="s">
        <v>263</v>
      </c>
      <c r="C54" s="55"/>
      <c r="D54" s="55"/>
      <c r="E54" s="55"/>
      <c r="F54" s="55"/>
      <c r="G54" s="55"/>
      <c r="H54" s="55"/>
      <c r="I54" s="136" t="s">
        <v>21</v>
      </c>
      <c r="J54" s="55"/>
      <c r="K54" s="55"/>
      <c r="L54" s="67"/>
    </row>
    <row r="55" spans="2:18" ht="15.75" x14ac:dyDescent="0.25">
      <c r="B55" s="77" t="s">
        <v>264</v>
      </c>
      <c r="C55" s="55"/>
      <c r="D55" s="55"/>
      <c r="E55" s="55"/>
      <c r="F55" s="55"/>
      <c r="G55" s="55"/>
      <c r="H55" s="55"/>
      <c r="I55" s="55"/>
      <c r="J55" s="55"/>
      <c r="K55" s="55"/>
      <c r="L55" s="67"/>
    </row>
    <row r="56" spans="2:18" ht="16.5" thickBot="1" x14ac:dyDescent="0.3">
      <c r="B56" s="77"/>
      <c r="C56" s="55"/>
      <c r="D56" s="55"/>
      <c r="E56" s="55"/>
      <c r="F56" s="55"/>
      <c r="G56" s="55"/>
      <c r="H56" s="55"/>
      <c r="I56" s="55"/>
      <c r="J56" s="55"/>
      <c r="K56" s="55"/>
      <c r="L56" s="67"/>
    </row>
    <row r="57" spans="2:18" ht="16.5" thickBot="1" x14ac:dyDescent="0.3">
      <c r="B57" s="86" t="s">
        <v>23</v>
      </c>
      <c r="C57" s="87"/>
      <c r="D57" s="87"/>
      <c r="E57" s="55"/>
      <c r="F57" s="55"/>
      <c r="G57" s="55"/>
      <c r="H57" s="55"/>
      <c r="I57" s="136" t="s">
        <v>20</v>
      </c>
      <c r="J57" s="55"/>
      <c r="K57" s="55"/>
      <c r="L57" s="67"/>
    </row>
    <row r="58" spans="2:18" ht="15.75" x14ac:dyDescent="0.25">
      <c r="B58" s="92" t="str">
        <f>IF(I57="Yes","How many?","")</f>
        <v>How many?</v>
      </c>
      <c r="C58" s="55"/>
      <c r="D58" s="129"/>
      <c r="E58" s="55"/>
      <c r="F58" s="55"/>
      <c r="G58" s="55"/>
      <c r="H58" s="55"/>
      <c r="I58" s="55"/>
      <c r="J58" s="55"/>
      <c r="K58" s="55"/>
      <c r="L58" s="67"/>
    </row>
    <row r="59" spans="2:18" ht="15.75" x14ac:dyDescent="0.25">
      <c r="B59" s="499" t="str">
        <f>IF(I57="yes","Please provide details of what type of claims and values","")</f>
        <v>Please provide details of what type of claims and values</v>
      </c>
      <c r="C59" s="55"/>
      <c r="D59" s="483"/>
      <c r="E59" s="483"/>
      <c r="F59" s="483"/>
      <c r="G59" s="483"/>
      <c r="H59" s="483"/>
      <c r="I59" s="483"/>
      <c r="J59" s="483"/>
      <c r="K59" s="483"/>
      <c r="L59" s="67"/>
    </row>
    <row r="60" spans="2:18" ht="15.75" x14ac:dyDescent="0.25">
      <c r="B60" s="499"/>
      <c r="C60" s="55"/>
      <c r="D60" s="483"/>
      <c r="E60" s="483"/>
      <c r="F60" s="483"/>
      <c r="G60" s="483"/>
      <c r="H60" s="483"/>
      <c r="I60" s="483"/>
      <c r="J60" s="483"/>
      <c r="K60" s="483"/>
      <c r="L60" s="67"/>
    </row>
    <row r="61" spans="2:18" ht="15.75" x14ac:dyDescent="0.25">
      <c r="B61" s="93"/>
      <c r="C61" s="55"/>
      <c r="D61" s="483"/>
      <c r="E61" s="483"/>
      <c r="F61" s="483"/>
      <c r="G61" s="483"/>
      <c r="H61" s="483"/>
      <c r="I61" s="483"/>
      <c r="J61" s="483"/>
      <c r="K61" s="483"/>
      <c r="L61" s="67"/>
    </row>
    <row r="62" spans="2:18" ht="16.5" thickBot="1" x14ac:dyDescent="0.3">
      <c r="B62" s="88"/>
      <c r="C62" s="55"/>
      <c r="D62" s="55"/>
      <c r="E62" s="55"/>
      <c r="F62" s="55"/>
      <c r="G62" s="55"/>
      <c r="H62" s="55"/>
      <c r="I62" s="55"/>
      <c r="J62" s="55"/>
      <c r="K62" s="55"/>
      <c r="L62" s="67"/>
    </row>
    <row r="63" spans="2:18" ht="16.5" thickBot="1" x14ac:dyDescent="0.3">
      <c r="B63" s="86" t="s">
        <v>24</v>
      </c>
      <c r="C63" s="87"/>
      <c r="D63" s="87"/>
      <c r="E63" s="55"/>
      <c r="F63" s="55"/>
      <c r="G63" s="55"/>
      <c r="H63" s="55"/>
      <c r="I63" s="55"/>
      <c r="J63" s="136" t="s">
        <v>21</v>
      </c>
      <c r="K63" s="55"/>
      <c r="L63" s="67"/>
    </row>
    <row r="64" spans="2:18" ht="15.75" x14ac:dyDescent="0.25">
      <c r="B64" s="65"/>
      <c r="C64" s="63"/>
      <c r="D64" s="63"/>
      <c r="E64" s="63"/>
      <c r="F64" s="63"/>
      <c r="G64" s="63"/>
      <c r="H64" s="63"/>
      <c r="I64" s="63"/>
      <c r="J64" s="63"/>
      <c r="K64" s="63"/>
      <c r="L64" s="78"/>
      <c r="R64" s="32" t="s">
        <v>78</v>
      </c>
    </row>
    <row r="65" spans="2:18" ht="15.75" x14ac:dyDescent="0.25">
      <c r="B65" s="77" t="s">
        <v>253</v>
      </c>
      <c r="C65" s="63"/>
      <c r="D65" s="63"/>
      <c r="E65" s="63"/>
      <c r="F65" s="63"/>
      <c r="G65" s="63"/>
      <c r="H65" s="63"/>
      <c r="I65" s="63"/>
      <c r="J65" s="63"/>
      <c r="K65" s="63"/>
      <c r="L65" s="78"/>
    </row>
    <row r="66" spans="2:18" ht="15.75" x14ac:dyDescent="0.25">
      <c r="B66" s="490"/>
      <c r="C66" s="491"/>
      <c r="D66" s="491"/>
      <c r="E66" s="491"/>
      <c r="F66" s="491"/>
      <c r="G66" s="491"/>
      <c r="H66" s="491"/>
      <c r="I66" s="491"/>
      <c r="J66" s="491"/>
      <c r="K66" s="492"/>
      <c r="L66" s="67"/>
    </row>
    <row r="67" spans="2:18" ht="15.75" x14ac:dyDescent="0.25">
      <c r="B67" s="493"/>
      <c r="C67" s="494"/>
      <c r="D67" s="494"/>
      <c r="E67" s="494"/>
      <c r="F67" s="494"/>
      <c r="G67" s="494"/>
      <c r="H67" s="494"/>
      <c r="I67" s="494"/>
      <c r="J67" s="494"/>
      <c r="K67" s="495"/>
      <c r="L67" s="67"/>
    </row>
    <row r="68" spans="2:18" ht="15.75" x14ac:dyDescent="0.25">
      <c r="B68" s="493"/>
      <c r="C68" s="494"/>
      <c r="D68" s="494"/>
      <c r="E68" s="494"/>
      <c r="F68" s="494"/>
      <c r="G68" s="494"/>
      <c r="H68" s="494"/>
      <c r="I68" s="494"/>
      <c r="J68" s="494"/>
      <c r="K68" s="495"/>
      <c r="L68" s="67"/>
    </row>
    <row r="69" spans="2:18" ht="15.75" x14ac:dyDescent="0.25">
      <c r="B69" s="496"/>
      <c r="C69" s="497"/>
      <c r="D69" s="497"/>
      <c r="E69" s="497"/>
      <c r="F69" s="497"/>
      <c r="G69" s="497"/>
      <c r="H69" s="497"/>
      <c r="I69" s="497"/>
      <c r="J69" s="497"/>
      <c r="K69" s="498"/>
      <c r="L69" s="67"/>
      <c r="R69" s="32" t="s">
        <v>26</v>
      </c>
    </row>
    <row r="70" spans="2:18" ht="15.75" x14ac:dyDescent="0.25">
      <c r="B70" s="65"/>
      <c r="C70" s="63"/>
      <c r="D70" s="63"/>
      <c r="E70" s="63"/>
      <c r="F70" s="63"/>
      <c r="G70" s="63"/>
      <c r="H70" s="63"/>
      <c r="I70" s="63"/>
      <c r="J70" s="63"/>
      <c r="K70" s="63"/>
      <c r="L70" s="67"/>
    </row>
    <row r="71" spans="2:18" ht="15.75" x14ac:dyDescent="0.25">
      <c r="B71" s="65"/>
      <c r="C71" s="63"/>
      <c r="D71" s="63"/>
      <c r="E71" s="63"/>
      <c r="F71" s="63"/>
      <c r="G71" s="63"/>
      <c r="H71" s="63"/>
      <c r="I71" s="63"/>
      <c r="J71" s="63"/>
      <c r="K71" s="63"/>
      <c r="L71" s="67"/>
      <c r="R71" s="32" t="s">
        <v>77</v>
      </c>
    </row>
    <row r="72" spans="2:18" ht="15.75" x14ac:dyDescent="0.25">
      <c r="B72" s="79" t="s">
        <v>29</v>
      </c>
      <c r="C72" s="80"/>
      <c r="D72" s="80"/>
      <c r="E72" s="63"/>
      <c r="F72" s="63"/>
      <c r="G72" s="63"/>
      <c r="H72" s="63"/>
      <c r="I72" s="63"/>
      <c r="J72" s="63"/>
      <c r="K72" s="63"/>
      <c r="L72" s="81"/>
    </row>
    <row r="73" spans="2:18" ht="15.75" x14ac:dyDescent="0.25">
      <c r="B73" s="94" t="s">
        <v>32</v>
      </c>
      <c r="C73" s="82"/>
      <c r="D73" s="82"/>
      <c r="E73" s="63"/>
      <c r="F73" s="63"/>
      <c r="G73" s="63"/>
      <c r="H73" s="63"/>
      <c r="I73" s="63"/>
      <c r="J73" s="63"/>
      <c r="K73" s="63"/>
      <c r="L73" s="67"/>
    </row>
    <row r="74" spans="2:18" ht="15.75" x14ac:dyDescent="0.25">
      <c r="B74" s="95" t="s">
        <v>266</v>
      </c>
      <c r="C74" s="83"/>
      <c r="D74" s="83"/>
      <c r="E74" s="83"/>
      <c r="F74" s="83"/>
      <c r="G74" s="83"/>
      <c r="H74" s="83"/>
      <c r="I74" s="83"/>
      <c r="J74" s="83"/>
      <c r="K74" s="83"/>
      <c r="L74" s="67"/>
    </row>
    <row r="75" spans="2:18" ht="15.75" x14ac:dyDescent="0.25">
      <c r="B75" s="95" t="s">
        <v>267</v>
      </c>
      <c r="C75" s="83"/>
      <c r="D75" s="83"/>
      <c r="E75" s="83"/>
      <c r="F75" s="83"/>
      <c r="G75" s="83"/>
      <c r="H75" s="83"/>
      <c r="I75" s="83"/>
      <c r="J75" s="83"/>
      <c r="K75" s="83"/>
      <c r="L75" s="67"/>
    </row>
    <row r="76" spans="2:18" ht="15.75" x14ac:dyDescent="0.25">
      <c r="B76" s="94" t="s">
        <v>268</v>
      </c>
      <c r="C76" s="82"/>
      <c r="D76" s="82"/>
      <c r="E76" s="63"/>
      <c r="F76" s="63"/>
      <c r="G76" s="63"/>
      <c r="H76" s="63"/>
      <c r="I76" s="63"/>
      <c r="J76" s="63"/>
      <c r="K76" s="63"/>
      <c r="L76" s="67"/>
    </row>
    <row r="77" spans="2:18" ht="15.75" x14ac:dyDescent="0.25">
      <c r="B77" s="94" t="s">
        <v>269</v>
      </c>
      <c r="C77" s="82"/>
      <c r="D77" s="82"/>
      <c r="E77" s="63"/>
      <c r="F77" s="63"/>
      <c r="G77" s="63"/>
      <c r="H77" s="91" t="str">
        <f>CONCATENATE(P30)</f>
        <v xml:space="preserve">Rural Affinity Insurance </v>
      </c>
      <c r="I77" s="63"/>
      <c r="J77" s="63"/>
      <c r="K77" s="63"/>
      <c r="L77" s="67"/>
    </row>
    <row r="78" spans="2:18" ht="15.75" x14ac:dyDescent="0.25">
      <c r="B78" s="94" t="s">
        <v>30</v>
      </c>
      <c r="C78" s="82"/>
      <c r="D78" s="82"/>
      <c r="E78" s="63"/>
      <c r="F78" s="63"/>
      <c r="G78" s="63"/>
      <c r="H78" s="63"/>
      <c r="I78" s="63"/>
      <c r="J78" s="63"/>
      <c r="K78" s="63"/>
      <c r="L78" s="67"/>
    </row>
    <row r="79" spans="2:18" ht="15.75" x14ac:dyDescent="0.25">
      <c r="B79" s="94" t="s">
        <v>31</v>
      </c>
      <c r="C79" s="82"/>
      <c r="D79" s="82"/>
      <c r="E79" s="63"/>
      <c r="F79" s="63"/>
      <c r="G79" s="63"/>
      <c r="H79" s="63"/>
      <c r="I79" s="63"/>
      <c r="J79" s="63"/>
      <c r="K79" s="63"/>
      <c r="L79" s="67"/>
    </row>
    <row r="80" spans="2:18" ht="15.75" x14ac:dyDescent="0.25">
      <c r="B80" s="94"/>
      <c r="C80" s="82"/>
      <c r="D80" s="82"/>
      <c r="E80" s="63"/>
      <c r="F80" s="63"/>
      <c r="G80" s="63"/>
      <c r="H80" s="63"/>
      <c r="I80" s="63"/>
      <c r="J80" s="63"/>
      <c r="K80" s="63"/>
      <c r="L80" s="67"/>
    </row>
    <row r="81" spans="2:12" ht="15.75" x14ac:dyDescent="0.25">
      <c r="B81" s="95" t="str">
        <f>LOOKUP(J30,'Rates &amp; Rating'!O7:O8,'Rates &amp; Rating'!P7:P8)</f>
        <v>Rural Affinity Insurance Agency Pty Ltd</v>
      </c>
      <c r="C81" s="82"/>
      <c r="D81" s="82"/>
      <c r="E81" s="63"/>
      <c r="F81" s="63"/>
      <c r="G81" s="63"/>
      <c r="H81" s="63"/>
      <c r="I81" s="63"/>
      <c r="J81" s="63"/>
      <c r="K81" s="63"/>
      <c r="L81" s="67"/>
    </row>
    <row r="82" spans="2:12" ht="15.75" x14ac:dyDescent="0.25">
      <c r="B82" s="77" t="str">
        <f>LOOKUP(J30,'Rates &amp; Rating'!O7:O8,'Rates &amp; Rating'!Q7:Q8)</f>
        <v>ABN 72 119 838 854  AFS Licence No. 302182</v>
      </c>
      <c r="C82" s="82"/>
      <c r="D82" s="82"/>
      <c r="E82" s="63"/>
      <c r="F82" s="63"/>
      <c r="G82" s="63"/>
      <c r="H82" s="63"/>
      <c r="I82" s="63"/>
      <c r="J82" s="63"/>
      <c r="K82" s="63"/>
      <c r="L82" s="67"/>
    </row>
    <row r="83" spans="2:12" ht="15.75" x14ac:dyDescent="0.25">
      <c r="B83" s="77" t="str">
        <f>LOOKUP(J30,'Rates &amp; Rating'!O7:O8,'Rates &amp; Rating'!R7:R8)</f>
        <v>Underwritten by Great Lakes Insurance SE  trading as Great Lakes Australia (ARBN 127 740 532, ABN 18 964 580 576, AFSL 318603)</v>
      </c>
      <c r="C83" s="82"/>
      <c r="D83" s="82"/>
      <c r="E83" s="63"/>
      <c r="F83" s="63"/>
      <c r="G83" s="63"/>
      <c r="H83" s="63"/>
      <c r="I83" s="63"/>
      <c r="J83" s="63"/>
      <c r="K83" s="63"/>
      <c r="L83" s="67"/>
    </row>
    <row r="84" spans="2:12" ht="15.75" x14ac:dyDescent="0.25">
      <c r="B84" s="94"/>
      <c r="C84" s="63"/>
      <c r="D84" s="63"/>
      <c r="E84" s="63"/>
      <c r="F84" s="63"/>
      <c r="G84" s="63"/>
      <c r="H84" s="63"/>
      <c r="I84" s="63"/>
      <c r="J84" s="63"/>
      <c r="K84" s="63"/>
      <c r="L84" s="67"/>
    </row>
    <row r="85" spans="2:12" ht="16.5" thickBot="1" x14ac:dyDescent="0.3">
      <c r="B85" s="94"/>
      <c r="C85" s="63"/>
      <c r="D85" s="63"/>
      <c r="E85" s="63"/>
      <c r="F85" s="63"/>
      <c r="G85" s="63"/>
      <c r="H85" s="63"/>
      <c r="I85" s="63"/>
      <c r="J85" s="63"/>
      <c r="K85" s="63"/>
      <c r="L85" s="67"/>
    </row>
    <row r="86" spans="2:12" ht="15.75" x14ac:dyDescent="0.25">
      <c r="B86" s="56" t="s">
        <v>259</v>
      </c>
      <c r="C86" s="503"/>
      <c r="D86" s="504"/>
      <c r="E86" s="504"/>
      <c r="F86" s="504"/>
      <c r="G86" s="504"/>
      <c r="H86" s="504"/>
      <c r="I86" s="505"/>
      <c r="J86" s="63"/>
      <c r="K86" s="63"/>
      <c r="L86" s="67"/>
    </row>
    <row r="87" spans="2:12" ht="16.5" thickBot="1" x14ac:dyDescent="0.3">
      <c r="B87" s="56"/>
      <c r="C87" s="506"/>
      <c r="D87" s="507"/>
      <c r="E87" s="507"/>
      <c r="F87" s="507"/>
      <c r="G87" s="507"/>
      <c r="H87" s="507"/>
      <c r="I87" s="508"/>
      <c r="J87" s="63"/>
      <c r="K87" s="63"/>
      <c r="L87" s="67"/>
    </row>
    <row r="88" spans="2:12" ht="15.75" x14ac:dyDescent="0.25">
      <c r="B88" s="56" t="s">
        <v>260</v>
      </c>
      <c r="C88" s="465">
        <f ca="1">TODAY()</f>
        <v>46308</v>
      </c>
      <c r="D88" s="511"/>
      <c r="E88" s="511"/>
      <c r="F88" s="511"/>
      <c r="G88" s="512"/>
      <c r="H88" s="63"/>
      <c r="I88" s="63"/>
      <c r="J88" s="63"/>
      <c r="K88" s="63"/>
      <c r="L88" s="67"/>
    </row>
    <row r="89" spans="2:12" ht="16.5" thickBot="1" x14ac:dyDescent="0.3">
      <c r="B89" s="56"/>
      <c r="C89" s="513"/>
      <c r="D89" s="514"/>
      <c r="E89" s="514"/>
      <c r="F89" s="514"/>
      <c r="G89" s="515"/>
      <c r="H89" s="63"/>
      <c r="I89" s="63"/>
      <c r="J89" s="63"/>
      <c r="K89" s="63"/>
      <c r="L89" s="67"/>
    </row>
    <row r="90" spans="2:12" ht="21" x14ac:dyDescent="0.35">
      <c r="B90" s="137" t="s">
        <v>95</v>
      </c>
      <c r="C90" s="53"/>
      <c r="D90" s="53"/>
      <c r="E90" s="53"/>
      <c r="F90" s="53"/>
      <c r="G90" s="53"/>
      <c r="H90" s="53"/>
      <c r="I90" s="53"/>
      <c r="J90" s="53"/>
      <c r="K90" s="53"/>
      <c r="L90" s="54"/>
    </row>
    <row r="91" spans="2:12" x14ac:dyDescent="0.2">
      <c r="B91" s="57" t="s">
        <v>96</v>
      </c>
      <c r="C91" s="46"/>
      <c r="D91" s="46"/>
      <c r="E91" s="46"/>
      <c r="F91" s="46"/>
      <c r="G91" s="138" t="s">
        <v>172</v>
      </c>
      <c r="H91" s="46"/>
      <c r="I91" s="46"/>
      <c r="J91" s="46"/>
      <c r="K91" s="46"/>
      <c r="L91" s="48"/>
    </row>
    <row r="92" spans="2:12" customFormat="1" ht="15" x14ac:dyDescent="0.25">
      <c r="B92" s="58" t="s">
        <v>97</v>
      </c>
      <c r="C92" s="46"/>
      <c r="D92" s="46"/>
      <c r="E92" s="46"/>
      <c r="F92" s="46"/>
      <c r="G92" s="139" t="s">
        <v>173</v>
      </c>
      <c r="H92" s="46"/>
      <c r="I92" s="46"/>
      <c r="J92" s="46"/>
      <c r="K92" s="46"/>
      <c r="L92" s="48"/>
    </row>
    <row r="93" spans="2:12" x14ac:dyDescent="0.2">
      <c r="B93" s="59" t="s">
        <v>98</v>
      </c>
      <c r="C93" s="46"/>
      <c r="D93" s="46"/>
      <c r="E93" s="46"/>
      <c r="F93" s="46"/>
      <c r="G93" s="139" t="s">
        <v>202</v>
      </c>
      <c r="H93" s="46"/>
      <c r="I93" s="46"/>
      <c r="J93" s="46"/>
      <c r="K93" s="46"/>
      <c r="L93" s="48"/>
    </row>
    <row r="94" spans="2:12" x14ac:dyDescent="0.2">
      <c r="B94" s="58" t="s">
        <v>99</v>
      </c>
      <c r="C94" s="46"/>
      <c r="D94" s="46"/>
      <c r="E94" s="46"/>
      <c r="F94" s="46"/>
      <c r="G94" s="139" t="s">
        <v>174</v>
      </c>
      <c r="H94" s="46"/>
      <c r="I94" s="46"/>
      <c r="J94" s="46"/>
      <c r="K94" s="46"/>
      <c r="L94" s="48"/>
    </row>
    <row r="95" spans="2:12" x14ac:dyDescent="0.2">
      <c r="B95" s="58" t="s">
        <v>100</v>
      </c>
      <c r="C95" s="46"/>
      <c r="D95" s="46"/>
      <c r="E95" s="46"/>
      <c r="F95" s="46"/>
      <c r="G95" s="139" t="s">
        <v>175</v>
      </c>
      <c r="H95" s="46"/>
      <c r="I95" s="46"/>
      <c r="J95" s="46"/>
      <c r="K95" s="46"/>
      <c r="L95" s="48"/>
    </row>
    <row r="96" spans="2:12" x14ac:dyDescent="0.2">
      <c r="B96" s="58" t="s">
        <v>101</v>
      </c>
      <c r="C96" s="46"/>
      <c r="D96" s="46"/>
      <c r="E96" s="46"/>
      <c r="F96" s="46"/>
      <c r="G96" s="139" t="s">
        <v>176</v>
      </c>
      <c r="H96" s="46"/>
      <c r="I96" s="46"/>
      <c r="J96" s="46"/>
      <c r="K96" s="46"/>
      <c r="L96" s="48"/>
    </row>
    <row r="97" spans="2:12" x14ac:dyDescent="0.2">
      <c r="B97" s="58" t="s">
        <v>102</v>
      </c>
      <c r="C97" s="46"/>
      <c r="D97" s="46"/>
      <c r="E97" s="46"/>
      <c r="F97" s="46"/>
      <c r="G97" s="139" t="s">
        <v>177</v>
      </c>
      <c r="H97" s="46"/>
      <c r="I97" s="46"/>
      <c r="J97" s="46"/>
      <c r="K97" s="46"/>
      <c r="L97" s="48"/>
    </row>
    <row r="98" spans="2:12" x14ac:dyDescent="0.2">
      <c r="B98" s="57" t="s">
        <v>103</v>
      </c>
      <c r="C98" s="46"/>
      <c r="D98" s="46"/>
      <c r="E98" s="46"/>
      <c r="F98" s="46"/>
      <c r="G98" s="139" t="s">
        <v>178</v>
      </c>
      <c r="H98" s="46"/>
      <c r="I98" s="46"/>
      <c r="J98" s="46"/>
      <c r="K98" s="46"/>
      <c r="L98" s="48"/>
    </row>
    <row r="99" spans="2:12" x14ac:dyDescent="0.2">
      <c r="B99" s="58" t="s">
        <v>104</v>
      </c>
      <c r="C99" s="46"/>
      <c r="D99" s="46"/>
      <c r="E99" s="46"/>
      <c r="F99" s="46"/>
      <c r="G99" s="139" t="s">
        <v>179</v>
      </c>
      <c r="H99" s="46"/>
      <c r="I99" s="46"/>
      <c r="J99" s="46"/>
      <c r="K99" s="46"/>
      <c r="L99" s="48"/>
    </row>
    <row r="100" spans="2:12" x14ac:dyDescent="0.2">
      <c r="B100" s="58" t="s">
        <v>105</v>
      </c>
      <c r="C100" s="46"/>
      <c r="D100" s="46"/>
      <c r="E100" s="46"/>
      <c r="F100" s="46"/>
      <c r="G100" s="139" t="s">
        <v>180</v>
      </c>
      <c r="H100" s="46"/>
      <c r="I100" s="46"/>
      <c r="J100" s="46"/>
      <c r="K100" s="46"/>
      <c r="L100" s="48"/>
    </row>
    <row r="101" spans="2:12" x14ac:dyDescent="0.2">
      <c r="B101" s="57" t="s">
        <v>106</v>
      </c>
      <c r="C101" s="46"/>
      <c r="D101" s="46"/>
      <c r="E101" s="46"/>
      <c r="F101" s="46"/>
      <c r="G101" s="139" t="s">
        <v>181</v>
      </c>
      <c r="H101" s="46"/>
      <c r="I101" s="46"/>
      <c r="J101" s="46"/>
      <c r="K101" s="46"/>
      <c r="L101" s="48"/>
    </row>
    <row r="102" spans="2:12" x14ac:dyDescent="0.2">
      <c r="B102" s="58" t="s">
        <v>107</v>
      </c>
      <c r="C102" s="46"/>
      <c r="D102" s="46"/>
      <c r="E102" s="46"/>
      <c r="F102" s="46"/>
      <c r="G102" s="139" t="s">
        <v>182</v>
      </c>
      <c r="H102" s="46"/>
      <c r="I102" s="46"/>
      <c r="J102" s="46"/>
      <c r="K102" s="46"/>
      <c r="L102" s="48"/>
    </row>
    <row r="103" spans="2:12" x14ac:dyDescent="0.2">
      <c r="B103" s="58" t="s">
        <v>108</v>
      </c>
      <c r="C103" s="46"/>
      <c r="D103" s="46"/>
      <c r="E103" s="46"/>
      <c r="F103" s="46"/>
      <c r="G103" s="139" t="s">
        <v>183</v>
      </c>
      <c r="H103" s="46"/>
      <c r="I103" s="46"/>
      <c r="J103" s="46"/>
      <c r="K103" s="46"/>
      <c r="L103" s="48"/>
    </row>
    <row r="104" spans="2:12" x14ac:dyDescent="0.2">
      <c r="B104" s="57" t="s">
        <v>109</v>
      </c>
      <c r="C104" s="46"/>
      <c r="D104" s="46"/>
      <c r="E104" s="46"/>
      <c r="F104" s="46"/>
      <c r="G104" s="139" t="s">
        <v>184</v>
      </c>
      <c r="H104" s="46"/>
      <c r="I104" s="46"/>
      <c r="J104" s="46"/>
      <c r="K104" s="46"/>
      <c r="L104" s="48"/>
    </row>
    <row r="105" spans="2:12" x14ac:dyDescent="0.2">
      <c r="B105" s="58" t="s">
        <v>110</v>
      </c>
      <c r="C105" s="46"/>
      <c r="D105" s="46"/>
      <c r="E105" s="46"/>
      <c r="F105" s="46"/>
      <c r="G105" s="139" t="s">
        <v>185</v>
      </c>
      <c r="H105" s="46"/>
      <c r="I105" s="46"/>
      <c r="J105" s="46"/>
      <c r="K105" s="46"/>
      <c r="L105" s="48"/>
    </row>
    <row r="106" spans="2:12" x14ac:dyDescent="0.2">
      <c r="B106" s="58" t="s">
        <v>111</v>
      </c>
      <c r="C106" s="46"/>
      <c r="D106" s="46"/>
      <c r="E106" s="46"/>
      <c r="F106" s="46"/>
      <c r="G106" s="139" t="s">
        <v>186</v>
      </c>
      <c r="H106" s="46"/>
      <c r="I106" s="46"/>
      <c r="J106" s="46"/>
      <c r="K106" s="46"/>
      <c r="L106" s="48"/>
    </row>
    <row r="107" spans="2:12" x14ac:dyDescent="0.2">
      <c r="B107" s="57" t="s">
        <v>112</v>
      </c>
      <c r="C107" s="46"/>
      <c r="D107" s="46"/>
      <c r="E107" s="46"/>
      <c r="F107" s="46"/>
      <c r="G107" s="139" t="s">
        <v>187</v>
      </c>
      <c r="H107" s="46"/>
      <c r="I107" s="46"/>
      <c r="J107" s="46"/>
      <c r="K107" s="46"/>
      <c r="L107" s="48"/>
    </row>
    <row r="108" spans="2:12" x14ac:dyDescent="0.2">
      <c r="B108" s="58" t="s">
        <v>328</v>
      </c>
      <c r="C108" s="46"/>
      <c r="D108" s="46"/>
      <c r="E108" s="46"/>
      <c r="F108" s="46"/>
      <c r="G108" s="139" t="s">
        <v>188</v>
      </c>
      <c r="H108" s="46"/>
      <c r="I108" s="46"/>
      <c r="J108" s="46"/>
      <c r="K108" s="46"/>
      <c r="L108" s="48"/>
    </row>
    <row r="109" spans="2:12" x14ac:dyDescent="0.2">
      <c r="B109" s="141" t="s">
        <v>326</v>
      </c>
      <c r="C109" s="46"/>
      <c r="D109" s="46"/>
      <c r="E109" s="46"/>
      <c r="F109" s="46"/>
      <c r="G109" s="139" t="s">
        <v>189</v>
      </c>
      <c r="H109" s="46"/>
      <c r="I109" s="46"/>
      <c r="J109" s="46"/>
      <c r="K109" s="46"/>
      <c r="L109" s="48"/>
    </row>
    <row r="110" spans="2:12" x14ac:dyDescent="0.2">
      <c r="B110" s="58" t="s">
        <v>327</v>
      </c>
      <c r="C110" s="46"/>
      <c r="D110" s="46"/>
      <c r="E110" s="46"/>
      <c r="F110" s="46"/>
      <c r="G110" s="139" t="s">
        <v>190</v>
      </c>
      <c r="H110" s="46"/>
      <c r="I110" s="46"/>
      <c r="J110" s="46"/>
      <c r="K110" s="46"/>
      <c r="L110" s="48"/>
    </row>
    <row r="111" spans="2:12" x14ac:dyDescent="0.2">
      <c r="B111" s="58" t="s">
        <v>329</v>
      </c>
      <c r="C111" s="46"/>
      <c r="D111" s="46"/>
      <c r="E111" s="46"/>
      <c r="F111" s="46"/>
      <c r="G111" s="139" t="s">
        <v>191</v>
      </c>
      <c r="H111" s="46"/>
      <c r="I111" s="46"/>
      <c r="J111" s="46"/>
      <c r="K111" s="46"/>
      <c r="L111" s="48"/>
    </row>
    <row r="112" spans="2:12" x14ac:dyDescent="0.2">
      <c r="B112" s="57" t="s">
        <v>114</v>
      </c>
      <c r="C112" s="46"/>
      <c r="D112" s="46"/>
      <c r="E112" s="46"/>
      <c r="F112" s="46"/>
      <c r="G112" s="139" t="s">
        <v>192</v>
      </c>
      <c r="H112" s="46"/>
      <c r="I112" s="46"/>
      <c r="J112" s="46"/>
      <c r="K112" s="46"/>
      <c r="L112" s="48"/>
    </row>
    <row r="113" spans="2:12" x14ac:dyDescent="0.2">
      <c r="B113" s="58" t="s">
        <v>115</v>
      </c>
      <c r="C113" s="46"/>
      <c r="D113" s="46"/>
      <c r="E113" s="46"/>
      <c r="F113" s="46"/>
      <c r="G113" s="139" t="s">
        <v>193</v>
      </c>
      <c r="H113" s="46"/>
      <c r="I113" s="46"/>
      <c r="J113" s="46"/>
      <c r="K113" s="46"/>
      <c r="L113" s="48"/>
    </row>
    <row r="114" spans="2:12" x14ac:dyDescent="0.2">
      <c r="B114" s="58" t="s">
        <v>116</v>
      </c>
      <c r="C114" s="46"/>
      <c r="D114" s="46"/>
      <c r="E114" s="46"/>
      <c r="F114" s="46"/>
      <c r="G114" s="139" t="s">
        <v>194</v>
      </c>
      <c r="H114" s="46"/>
      <c r="I114" s="46"/>
      <c r="J114" s="46"/>
      <c r="K114" s="46"/>
      <c r="L114" s="48"/>
    </row>
    <row r="115" spans="2:12" x14ac:dyDescent="0.2">
      <c r="B115" s="58" t="s">
        <v>117</v>
      </c>
      <c r="C115" s="46"/>
      <c r="D115" s="46"/>
      <c r="E115" s="46"/>
      <c r="F115" s="46"/>
      <c r="G115" s="139" t="s">
        <v>195</v>
      </c>
      <c r="H115" s="46"/>
      <c r="I115" s="46"/>
      <c r="J115" s="46"/>
      <c r="K115" s="46"/>
      <c r="L115" s="48"/>
    </row>
    <row r="116" spans="2:12" x14ac:dyDescent="0.2">
      <c r="B116" s="58" t="s">
        <v>118</v>
      </c>
      <c r="C116" s="46"/>
      <c r="D116" s="46"/>
      <c r="E116" s="46"/>
      <c r="F116" s="46"/>
      <c r="G116" s="139" t="s">
        <v>196</v>
      </c>
      <c r="H116" s="46"/>
      <c r="I116" s="46"/>
      <c r="J116" s="46"/>
      <c r="K116" s="46"/>
      <c r="L116" s="48"/>
    </row>
    <row r="117" spans="2:12" x14ac:dyDescent="0.2">
      <c r="B117" s="58" t="s">
        <v>119</v>
      </c>
      <c r="C117" s="46"/>
      <c r="D117" s="46"/>
      <c r="E117" s="46"/>
      <c r="F117" s="46"/>
      <c r="G117" s="139" t="s">
        <v>197</v>
      </c>
      <c r="H117" s="46"/>
      <c r="I117" s="46"/>
      <c r="J117" s="46"/>
      <c r="K117" s="46"/>
      <c r="L117" s="48"/>
    </row>
    <row r="118" spans="2:12" x14ac:dyDescent="0.2">
      <c r="B118" s="59" t="s">
        <v>120</v>
      </c>
      <c r="C118" s="46"/>
      <c r="D118" s="46"/>
      <c r="E118" s="46"/>
      <c r="F118" s="46"/>
      <c r="G118" s="139" t="s">
        <v>198</v>
      </c>
      <c r="H118" s="46"/>
      <c r="I118" s="46"/>
      <c r="J118" s="46"/>
      <c r="K118" s="46"/>
      <c r="L118" s="48"/>
    </row>
    <row r="119" spans="2:12" x14ac:dyDescent="0.2">
      <c r="B119" s="58" t="s">
        <v>121</v>
      </c>
      <c r="C119" s="46"/>
      <c r="D119" s="46"/>
      <c r="E119" s="46"/>
      <c r="F119" s="46"/>
      <c r="G119" s="139" t="s">
        <v>199</v>
      </c>
      <c r="H119" s="46"/>
      <c r="I119" s="46"/>
      <c r="J119" s="46"/>
      <c r="K119" s="46"/>
      <c r="L119" s="48"/>
    </row>
    <row r="120" spans="2:12" x14ac:dyDescent="0.2">
      <c r="B120" s="58" t="s">
        <v>122</v>
      </c>
      <c r="C120" s="46"/>
      <c r="D120" s="46"/>
      <c r="E120" s="46"/>
      <c r="F120" s="46"/>
      <c r="G120" s="139" t="s">
        <v>200</v>
      </c>
      <c r="H120" s="46"/>
      <c r="I120" s="46"/>
      <c r="J120" s="46"/>
      <c r="K120" s="46"/>
      <c r="L120" s="48"/>
    </row>
    <row r="121" spans="2:12" x14ac:dyDescent="0.2">
      <c r="B121" s="58" t="s">
        <v>123</v>
      </c>
      <c r="C121" s="46"/>
      <c r="D121" s="46"/>
      <c r="E121" s="46"/>
      <c r="F121" s="46"/>
      <c r="G121" s="139" t="s">
        <v>201</v>
      </c>
      <c r="H121" s="46"/>
      <c r="I121" s="46"/>
      <c r="J121" s="46"/>
      <c r="K121" s="46"/>
      <c r="L121" s="48"/>
    </row>
    <row r="122" spans="2:12" x14ac:dyDescent="0.2">
      <c r="B122" s="58" t="s">
        <v>124</v>
      </c>
      <c r="C122" s="46"/>
      <c r="D122" s="46"/>
      <c r="E122" s="46"/>
      <c r="F122" s="46"/>
      <c r="G122" s="46"/>
      <c r="H122" s="46"/>
      <c r="I122" s="46"/>
      <c r="J122" s="46"/>
      <c r="K122" s="46"/>
      <c r="L122" s="48"/>
    </row>
    <row r="123" spans="2:12" x14ac:dyDescent="0.2">
      <c r="B123" s="58" t="s">
        <v>125</v>
      </c>
      <c r="C123" s="46"/>
      <c r="D123" s="46"/>
      <c r="E123" s="46"/>
      <c r="F123" s="46"/>
      <c r="G123" s="139" t="s">
        <v>203</v>
      </c>
      <c r="H123" s="46"/>
      <c r="I123" s="46"/>
      <c r="J123" s="46"/>
      <c r="K123" s="46"/>
      <c r="L123" s="48"/>
    </row>
    <row r="124" spans="2:12" x14ac:dyDescent="0.2">
      <c r="B124" s="58" t="s">
        <v>126</v>
      </c>
      <c r="C124" s="46"/>
      <c r="D124" s="46"/>
      <c r="E124" s="46"/>
      <c r="F124" s="46"/>
      <c r="G124" s="139" t="s">
        <v>204</v>
      </c>
      <c r="H124" s="46"/>
      <c r="I124" s="46"/>
      <c r="J124" s="46"/>
      <c r="K124" s="46"/>
      <c r="L124" s="48"/>
    </row>
    <row r="125" spans="2:12" x14ac:dyDescent="0.2">
      <c r="B125" s="58" t="s">
        <v>127</v>
      </c>
      <c r="C125" s="46"/>
      <c r="D125" s="46"/>
      <c r="E125" s="46"/>
      <c r="F125" s="46"/>
      <c r="G125" s="139" t="s">
        <v>205</v>
      </c>
      <c r="H125" s="46"/>
      <c r="I125" s="46"/>
      <c r="J125" s="46"/>
      <c r="K125" s="46"/>
      <c r="L125" s="48"/>
    </row>
    <row r="126" spans="2:12" x14ac:dyDescent="0.2">
      <c r="B126" s="58" t="s">
        <v>128</v>
      </c>
      <c r="C126" s="46"/>
      <c r="D126" s="46"/>
      <c r="E126" s="46"/>
      <c r="F126" s="46"/>
      <c r="G126" s="139" t="s">
        <v>206</v>
      </c>
      <c r="H126" s="46"/>
      <c r="I126" s="46"/>
      <c r="J126" s="46"/>
      <c r="K126" s="46"/>
      <c r="L126" s="48"/>
    </row>
    <row r="127" spans="2:12" x14ac:dyDescent="0.2">
      <c r="B127" s="58" t="s">
        <v>129</v>
      </c>
      <c r="C127" s="46"/>
      <c r="D127" s="46"/>
      <c r="E127" s="46"/>
      <c r="F127" s="46"/>
      <c r="G127" s="139" t="s">
        <v>207</v>
      </c>
      <c r="H127" s="46"/>
      <c r="I127" s="46"/>
      <c r="J127" s="46"/>
      <c r="K127" s="46"/>
      <c r="L127" s="48"/>
    </row>
    <row r="128" spans="2:12" x14ac:dyDescent="0.2">
      <c r="B128" s="58" t="s">
        <v>130</v>
      </c>
      <c r="C128" s="46"/>
      <c r="D128" s="46"/>
      <c r="E128" s="46"/>
      <c r="F128" s="46"/>
      <c r="G128" s="139" t="s">
        <v>208</v>
      </c>
      <c r="H128" s="46"/>
      <c r="I128" s="46"/>
      <c r="J128" s="46"/>
      <c r="K128" s="46"/>
      <c r="L128" s="48"/>
    </row>
    <row r="129" spans="2:12" x14ac:dyDescent="0.2">
      <c r="B129" s="58" t="s">
        <v>131</v>
      </c>
      <c r="C129" s="46"/>
      <c r="D129" s="46"/>
      <c r="E129" s="46"/>
      <c r="F129" s="46"/>
      <c r="G129" s="139" t="s">
        <v>209</v>
      </c>
      <c r="H129" s="46"/>
      <c r="I129" s="46"/>
      <c r="J129" s="46"/>
      <c r="K129" s="46"/>
      <c r="L129" s="48"/>
    </row>
    <row r="130" spans="2:12" x14ac:dyDescent="0.2">
      <c r="B130" s="59" t="s">
        <v>132</v>
      </c>
      <c r="C130" s="46"/>
      <c r="D130" s="46"/>
      <c r="E130" s="46"/>
      <c r="F130" s="46"/>
      <c r="G130" s="138" t="s">
        <v>210</v>
      </c>
      <c r="H130" s="46"/>
      <c r="I130" s="46"/>
      <c r="J130" s="46"/>
      <c r="K130" s="46"/>
      <c r="L130" s="48"/>
    </row>
    <row r="131" spans="2:12" x14ac:dyDescent="0.2">
      <c r="B131" s="58" t="s">
        <v>133</v>
      </c>
      <c r="C131" s="46"/>
      <c r="D131" s="46"/>
      <c r="E131" s="46"/>
      <c r="F131" s="46"/>
      <c r="G131" s="139" t="s">
        <v>211</v>
      </c>
      <c r="H131" s="46"/>
      <c r="I131" s="46"/>
      <c r="J131" s="46"/>
      <c r="K131" s="46"/>
      <c r="L131" s="48"/>
    </row>
    <row r="132" spans="2:12" x14ac:dyDescent="0.2">
      <c r="B132" s="58" t="s">
        <v>134</v>
      </c>
      <c r="C132" s="46"/>
      <c r="D132" s="46"/>
      <c r="E132" s="46"/>
      <c r="F132" s="46"/>
      <c r="G132" s="139" t="s">
        <v>212</v>
      </c>
      <c r="H132" s="46"/>
      <c r="I132" s="46"/>
      <c r="J132" s="46"/>
      <c r="K132" s="46"/>
      <c r="L132" s="48"/>
    </row>
    <row r="133" spans="2:12" x14ac:dyDescent="0.2">
      <c r="B133" s="58" t="s">
        <v>135</v>
      </c>
      <c r="C133" s="46"/>
      <c r="D133" s="46"/>
      <c r="E133" s="46"/>
      <c r="F133" s="46"/>
      <c r="G133" s="139" t="s">
        <v>213</v>
      </c>
      <c r="H133" s="46"/>
      <c r="I133" s="46"/>
      <c r="J133" s="46"/>
      <c r="K133" s="46"/>
      <c r="L133" s="48"/>
    </row>
    <row r="134" spans="2:12" x14ac:dyDescent="0.2">
      <c r="B134" s="58" t="s">
        <v>136</v>
      </c>
      <c r="C134" s="46"/>
      <c r="D134" s="46"/>
      <c r="E134" s="46"/>
      <c r="F134" s="46"/>
      <c r="G134" s="139" t="s">
        <v>214</v>
      </c>
      <c r="H134" s="46"/>
      <c r="I134" s="46"/>
      <c r="J134" s="46"/>
      <c r="K134" s="46"/>
      <c r="L134" s="48"/>
    </row>
    <row r="135" spans="2:12" x14ac:dyDescent="0.2">
      <c r="B135" s="58" t="s">
        <v>137</v>
      </c>
      <c r="C135" s="46"/>
      <c r="D135" s="46"/>
      <c r="E135" s="46"/>
      <c r="F135" s="46"/>
      <c r="G135" s="139" t="s">
        <v>215</v>
      </c>
      <c r="H135" s="46"/>
      <c r="I135" s="46"/>
      <c r="J135" s="46"/>
      <c r="K135" s="46"/>
      <c r="L135" s="48"/>
    </row>
    <row r="136" spans="2:12" x14ac:dyDescent="0.2">
      <c r="B136" s="59" t="s">
        <v>138</v>
      </c>
      <c r="C136" s="46"/>
      <c r="D136" s="46"/>
      <c r="E136" s="46"/>
      <c r="F136" s="46"/>
      <c r="G136" s="139" t="s">
        <v>216</v>
      </c>
      <c r="H136" s="46"/>
      <c r="I136" s="46"/>
      <c r="J136" s="46"/>
      <c r="K136" s="46"/>
      <c r="L136" s="60"/>
    </row>
    <row r="137" spans="2:12" x14ac:dyDescent="0.2">
      <c r="B137" s="58" t="s">
        <v>139</v>
      </c>
      <c r="C137" s="46"/>
      <c r="D137" s="46"/>
      <c r="E137" s="46"/>
      <c r="F137" s="46"/>
      <c r="G137" s="509" t="s">
        <v>217</v>
      </c>
      <c r="H137" s="509"/>
      <c r="I137" s="509"/>
      <c r="J137" s="509"/>
      <c r="K137" s="509"/>
      <c r="L137" s="510"/>
    </row>
    <row r="138" spans="2:12" x14ac:dyDescent="0.2">
      <c r="B138" s="58" t="s">
        <v>140</v>
      </c>
      <c r="C138" s="46"/>
      <c r="D138" s="46"/>
      <c r="E138" s="46"/>
      <c r="F138" s="46"/>
      <c r="G138" s="479" t="s">
        <v>246</v>
      </c>
      <c r="H138" s="479"/>
      <c r="I138" s="479"/>
      <c r="J138" s="479"/>
      <c r="K138" s="479"/>
      <c r="L138" s="480"/>
    </row>
    <row r="139" spans="2:12" x14ac:dyDescent="0.2">
      <c r="B139" s="58" t="s">
        <v>141</v>
      </c>
      <c r="C139" s="46"/>
      <c r="D139" s="46"/>
      <c r="E139" s="46"/>
      <c r="F139" s="46"/>
      <c r="G139" s="479" t="s">
        <v>218</v>
      </c>
      <c r="H139" s="479"/>
      <c r="I139" s="479"/>
      <c r="J139" s="479"/>
      <c r="K139" s="479"/>
      <c r="L139" s="480"/>
    </row>
    <row r="140" spans="2:12" x14ac:dyDescent="0.2">
      <c r="B140" s="58" t="s">
        <v>142</v>
      </c>
      <c r="C140" s="46"/>
      <c r="D140" s="46"/>
      <c r="E140" s="46"/>
      <c r="F140" s="46"/>
      <c r="G140" s="479" t="s">
        <v>247</v>
      </c>
      <c r="H140" s="479"/>
      <c r="I140" s="479"/>
      <c r="J140" s="479"/>
      <c r="K140" s="479"/>
      <c r="L140" s="480"/>
    </row>
    <row r="141" spans="2:12" x14ac:dyDescent="0.2">
      <c r="B141" s="58" t="s">
        <v>143</v>
      </c>
      <c r="C141" s="46"/>
      <c r="D141" s="46"/>
      <c r="E141" s="46"/>
      <c r="F141" s="46"/>
      <c r="G141" s="139" t="s">
        <v>219</v>
      </c>
      <c r="H141" s="46"/>
      <c r="I141" s="46"/>
      <c r="J141" s="46"/>
      <c r="K141" s="46"/>
      <c r="L141" s="48"/>
    </row>
    <row r="142" spans="2:12" x14ac:dyDescent="0.2">
      <c r="B142" s="58" t="s">
        <v>144</v>
      </c>
      <c r="C142" s="46"/>
      <c r="D142" s="46"/>
      <c r="E142" s="46"/>
      <c r="F142" s="46"/>
      <c r="G142" s="139" t="s">
        <v>220</v>
      </c>
      <c r="H142" s="46"/>
      <c r="I142" s="46"/>
      <c r="J142" s="46"/>
      <c r="K142" s="46"/>
      <c r="L142" s="48"/>
    </row>
    <row r="143" spans="2:12" x14ac:dyDescent="0.2">
      <c r="B143" s="45"/>
      <c r="C143" s="46"/>
      <c r="D143" s="46"/>
      <c r="E143" s="46"/>
      <c r="F143" s="46"/>
      <c r="G143" s="139" t="s">
        <v>221</v>
      </c>
      <c r="H143" s="46"/>
      <c r="I143" s="46"/>
      <c r="J143" s="46"/>
      <c r="K143" s="46"/>
      <c r="L143" s="48"/>
    </row>
    <row r="144" spans="2:12" x14ac:dyDescent="0.2">
      <c r="B144" s="59" t="s">
        <v>145</v>
      </c>
      <c r="C144" s="46"/>
      <c r="D144" s="46"/>
      <c r="E144" s="46"/>
      <c r="F144" s="46"/>
      <c r="G144" s="139" t="s">
        <v>222</v>
      </c>
      <c r="H144" s="46"/>
      <c r="I144" s="46"/>
      <c r="J144" s="46"/>
      <c r="K144" s="46"/>
      <c r="L144" s="48"/>
    </row>
    <row r="145" spans="2:12" x14ac:dyDescent="0.2">
      <c r="B145" s="58" t="s">
        <v>146</v>
      </c>
      <c r="C145" s="46"/>
      <c r="D145" s="46"/>
      <c r="E145" s="46"/>
      <c r="F145" s="46"/>
      <c r="G145" s="139" t="s">
        <v>223</v>
      </c>
      <c r="H145" s="46"/>
      <c r="I145" s="46"/>
      <c r="J145" s="46"/>
      <c r="K145" s="46"/>
      <c r="L145" s="48"/>
    </row>
    <row r="146" spans="2:12" x14ac:dyDescent="0.2">
      <c r="B146" s="58" t="s">
        <v>147</v>
      </c>
      <c r="C146" s="46"/>
      <c r="D146" s="46"/>
      <c r="E146" s="46"/>
      <c r="F146" s="46"/>
      <c r="G146" s="139" t="s">
        <v>224</v>
      </c>
      <c r="H146" s="46"/>
      <c r="I146" s="46"/>
      <c r="J146" s="46"/>
      <c r="K146" s="46"/>
      <c r="L146" s="48"/>
    </row>
    <row r="147" spans="2:12" x14ac:dyDescent="0.2">
      <c r="B147" s="58" t="s">
        <v>148</v>
      </c>
      <c r="C147" s="46"/>
      <c r="D147" s="46"/>
      <c r="E147" s="46"/>
      <c r="F147" s="46"/>
      <c r="G147" s="139" t="s">
        <v>225</v>
      </c>
      <c r="H147" s="46"/>
      <c r="I147" s="46"/>
      <c r="J147" s="46"/>
      <c r="K147" s="46"/>
      <c r="L147" s="48"/>
    </row>
    <row r="148" spans="2:12" x14ac:dyDescent="0.2">
      <c r="B148" s="58" t="s">
        <v>149</v>
      </c>
      <c r="C148" s="46"/>
      <c r="D148" s="46"/>
      <c r="E148" s="46"/>
      <c r="F148" s="46"/>
      <c r="G148" s="139" t="s">
        <v>226</v>
      </c>
      <c r="H148" s="46"/>
      <c r="I148" s="46"/>
      <c r="J148" s="46"/>
      <c r="K148" s="46"/>
      <c r="L148" s="48"/>
    </row>
    <row r="149" spans="2:12" x14ac:dyDescent="0.2">
      <c r="B149" s="58" t="s">
        <v>150</v>
      </c>
      <c r="C149" s="46"/>
      <c r="D149" s="46"/>
      <c r="E149" s="46"/>
      <c r="F149" s="46"/>
      <c r="G149" s="139" t="s">
        <v>227</v>
      </c>
      <c r="H149" s="46"/>
      <c r="I149" s="46"/>
      <c r="J149" s="46"/>
      <c r="K149" s="46"/>
      <c r="L149" s="48"/>
    </row>
    <row r="150" spans="2:12" x14ac:dyDescent="0.2">
      <c r="B150" s="58" t="s">
        <v>151</v>
      </c>
      <c r="C150" s="46"/>
      <c r="D150" s="46"/>
      <c r="E150" s="46"/>
      <c r="F150" s="46"/>
      <c r="G150" s="139" t="s">
        <v>228</v>
      </c>
      <c r="H150" s="46"/>
      <c r="I150" s="46"/>
      <c r="J150" s="46"/>
      <c r="K150" s="46"/>
      <c r="L150" s="48"/>
    </row>
    <row r="151" spans="2:12" x14ac:dyDescent="0.2">
      <c r="B151" s="58" t="s">
        <v>152</v>
      </c>
      <c r="C151" s="46"/>
      <c r="D151" s="46"/>
      <c r="E151" s="46"/>
      <c r="F151" s="46"/>
      <c r="G151" s="139" t="s">
        <v>229</v>
      </c>
      <c r="H151" s="46"/>
      <c r="I151" s="46"/>
      <c r="J151" s="46"/>
      <c r="K151" s="46"/>
      <c r="L151" s="48"/>
    </row>
    <row r="152" spans="2:12" x14ac:dyDescent="0.2">
      <c r="B152" s="58" t="s">
        <v>153</v>
      </c>
      <c r="C152" s="46"/>
      <c r="D152" s="46"/>
      <c r="E152" s="46"/>
      <c r="F152" s="46"/>
      <c r="G152" s="139" t="s">
        <v>230</v>
      </c>
      <c r="H152" s="46"/>
      <c r="I152" s="46"/>
      <c r="J152" s="46"/>
      <c r="K152" s="46"/>
      <c r="L152" s="48"/>
    </row>
    <row r="153" spans="2:12" x14ac:dyDescent="0.2">
      <c r="B153" s="58" t="s">
        <v>154</v>
      </c>
      <c r="C153" s="46"/>
      <c r="D153" s="46"/>
      <c r="E153" s="46"/>
      <c r="F153" s="46"/>
      <c r="G153" s="139" t="s">
        <v>231</v>
      </c>
      <c r="H153" s="46"/>
      <c r="I153" s="46"/>
      <c r="J153" s="46"/>
      <c r="K153" s="46"/>
      <c r="L153" s="48"/>
    </row>
    <row r="154" spans="2:12" x14ac:dyDescent="0.2">
      <c r="B154" s="58" t="s">
        <v>155</v>
      </c>
      <c r="C154" s="46"/>
      <c r="D154" s="46"/>
      <c r="E154" s="46"/>
      <c r="F154" s="46"/>
      <c r="G154" s="139" t="s">
        <v>232</v>
      </c>
      <c r="H154" s="46"/>
      <c r="I154" s="46"/>
      <c r="J154" s="46"/>
      <c r="K154" s="46"/>
      <c r="L154" s="48"/>
    </row>
    <row r="155" spans="2:12" x14ac:dyDescent="0.2">
      <c r="B155" s="58" t="s">
        <v>156</v>
      </c>
      <c r="C155" s="46"/>
      <c r="D155" s="46"/>
      <c r="E155" s="46"/>
      <c r="F155" s="46"/>
      <c r="G155" s="139" t="s">
        <v>233</v>
      </c>
      <c r="H155" s="46"/>
      <c r="I155" s="46"/>
      <c r="J155" s="46"/>
      <c r="K155" s="46"/>
      <c r="L155" s="48"/>
    </row>
    <row r="156" spans="2:12" x14ac:dyDescent="0.2">
      <c r="B156" s="58" t="s">
        <v>157</v>
      </c>
      <c r="C156" s="46"/>
      <c r="D156" s="46"/>
      <c r="E156" s="46"/>
      <c r="F156" s="46"/>
      <c r="G156" s="139" t="s">
        <v>234</v>
      </c>
      <c r="H156" s="46"/>
      <c r="I156" s="46"/>
      <c r="J156" s="46"/>
      <c r="K156" s="46"/>
      <c r="L156" s="48"/>
    </row>
    <row r="157" spans="2:12" x14ac:dyDescent="0.2">
      <c r="B157" s="58" t="s">
        <v>158</v>
      </c>
      <c r="C157" s="46"/>
      <c r="D157" s="46"/>
      <c r="E157" s="46"/>
      <c r="F157" s="46"/>
      <c r="G157" s="139" t="s">
        <v>235</v>
      </c>
      <c r="H157" s="46"/>
      <c r="I157" s="46"/>
      <c r="J157" s="46"/>
      <c r="K157" s="46"/>
      <c r="L157" s="48"/>
    </row>
    <row r="158" spans="2:12" x14ac:dyDescent="0.2">
      <c r="B158" s="59" t="s">
        <v>159</v>
      </c>
      <c r="C158" s="46"/>
      <c r="D158" s="46"/>
      <c r="E158" s="46"/>
      <c r="F158" s="46"/>
      <c r="G158" s="139" t="s">
        <v>236</v>
      </c>
      <c r="H158" s="46"/>
      <c r="I158" s="46"/>
      <c r="J158" s="46"/>
      <c r="K158" s="46"/>
      <c r="L158" s="48"/>
    </row>
    <row r="159" spans="2:12" x14ac:dyDescent="0.2">
      <c r="B159" s="58" t="s">
        <v>160</v>
      </c>
      <c r="C159" s="46"/>
      <c r="D159" s="46"/>
      <c r="E159" s="46"/>
      <c r="F159" s="46"/>
      <c r="G159" s="139" t="s">
        <v>237</v>
      </c>
      <c r="H159" s="46"/>
      <c r="I159" s="46"/>
      <c r="J159" s="46"/>
      <c r="K159" s="46"/>
      <c r="L159" s="48"/>
    </row>
    <row r="160" spans="2:12" x14ac:dyDescent="0.2">
      <c r="B160" s="58" t="s">
        <v>161</v>
      </c>
      <c r="C160" s="46"/>
      <c r="D160" s="46"/>
      <c r="E160" s="46"/>
      <c r="F160" s="46"/>
      <c r="G160" s="139" t="s">
        <v>238</v>
      </c>
      <c r="H160" s="46"/>
      <c r="I160" s="46"/>
      <c r="J160" s="46"/>
      <c r="K160" s="46"/>
      <c r="L160" s="48"/>
    </row>
    <row r="161" spans="2:12" x14ac:dyDescent="0.2">
      <c r="B161" s="58" t="s">
        <v>162</v>
      </c>
      <c r="C161" s="46"/>
      <c r="D161" s="46"/>
      <c r="E161" s="46"/>
      <c r="F161" s="46"/>
      <c r="G161" s="139" t="s">
        <v>239</v>
      </c>
      <c r="H161" s="46"/>
      <c r="I161" s="46"/>
      <c r="J161" s="46"/>
      <c r="K161" s="46"/>
      <c r="L161" s="48"/>
    </row>
    <row r="162" spans="2:12" x14ac:dyDescent="0.2">
      <c r="B162" s="58" t="s">
        <v>163</v>
      </c>
      <c r="C162" s="46"/>
      <c r="D162" s="46"/>
      <c r="E162" s="46"/>
      <c r="F162" s="46"/>
      <c r="G162" s="139" t="s">
        <v>240</v>
      </c>
      <c r="H162" s="46"/>
      <c r="I162" s="46"/>
      <c r="J162" s="46"/>
      <c r="K162" s="46"/>
      <c r="L162" s="48"/>
    </row>
    <row r="163" spans="2:12" x14ac:dyDescent="0.2">
      <c r="B163" s="58" t="s">
        <v>164</v>
      </c>
      <c r="C163" s="46"/>
      <c r="D163" s="46"/>
      <c r="E163" s="46"/>
      <c r="F163" s="46"/>
      <c r="G163" s="46"/>
      <c r="H163" s="46"/>
      <c r="I163" s="46"/>
      <c r="J163" s="46"/>
      <c r="K163" s="46"/>
      <c r="L163" s="48"/>
    </row>
    <row r="164" spans="2:12" x14ac:dyDescent="0.2">
      <c r="B164" s="59" t="s">
        <v>165</v>
      </c>
      <c r="C164" s="46"/>
      <c r="D164" s="46"/>
      <c r="E164" s="46"/>
      <c r="F164" s="46"/>
      <c r="G164" s="138" t="s">
        <v>241</v>
      </c>
      <c r="H164" s="46"/>
      <c r="I164" s="46"/>
      <c r="J164" s="46"/>
      <c r="K164" s="46"/>
      <c r="L164" s="48"/>
    </row>
    <row r="165" spans="2:12" x14ac:dyDescent="0.2">
      <c r="B165" s="58" t="s">
        <v>166</v>
      </c>
      <c r="C165" s="46"/>
      <c r="D165" s="46"/>
      <c r="E165" s="46"/>
      <c r="F165" s="46"/>
      <c r="G165" s="139" t="s">
        <v>242</v>
      </c>
      <c r="H165" s="46"/>
      <c r="I165" s="46"/>
      <c r="J165" s="46"/>
      <c r="K165" s="46"/>
      <c r="L165" s="48"/>
    </row>
    <row r="166" spans="2:12" x14ac:dyDescent="0.2">
      <c r="B166" s="59" t="s">
        <v>167</v>
      </c>
      <c r="C166" s="46"/>
      <c r="D166" s="46"/>
      <c r="E166" s="46"/>
      <c r="F166" s="46"/>
      <c r="G166" s="139" t="s">
        <v>243</v>
      </c>
      <c r="H166" s="46"/>
      <c r="I166" s="46"/>
      <c r="J166" s="46"/>
      <c r="K166" s="46"/>
      <c r="L166" s="48"/>
    </row>
    <row r="167" spans="2:12" x14ac:dyDescent="0.2">
      <c r="B167" s="58" t="s">
        <v>168</v>
      </c>
      <c r="C167" s="46"/>
      <c r="D167" s="46"/>
      <c r="E167" s="46"/>
      <c r="F167" s="46"/>
      <c r="G167" s="139" t="s">
        <v>244</v>
      </c>
      <c r="H167" s="46"/>
      <c r="I167" s="46"/>
      <c r="J167" s="46"/>
      <c r="K167" s="46"/>
      <c r="L167" s="48"/>
    </row>
    <row r="168" spans="2:12" x14ac:dyDescent="0.2">
      <c r="B168" s="58" t="s">
        <v>169</v>
      </c>
      <c r="C168" s="46"/>
      <c r="D168" s="46"/>
      <c r="E168" s="46"/>
      <c r="F168" s="46"/>
      <c r="G168" s="139" t="s">
        <v>245</v>
      </c>
      <c r="H168" s="46"/>
      <c r="I168" s="46"/>
      <c r="J168" s="46"/>
      <c r="K168" s="46"/>
      <c r="L168" s="48"/>
    </row>
    <row r="169" spans="2:12" x14ac:dyDescent="0.2">
      <c r="B169" s="58" t="s">
        <v>170</v>
      </c>
      <c r="C169" s="46"/>
      <c r="D169" s="46"/>
      <c r="E169" s="46"/>
      <c r="F169" s="46"/>
      <c r="G169" s="138"/>
      <c r="H169" s="46"/>
      <c r="I169" s="46"/>
      <c r="J169" s="46"/>
      <c r="K169" s="46"/>
      <c r="L169" s="48"/>
    </row>
    <row r="170" spans="2:12" ht="13.5" thickBot="1" x14ac:dyDescent="0.25">
      <c r="B170" s="140" t="s">
        <v>171</v>
      </c>
      <c r="C170" s="51"/>
      <c r="D170" s="51"/>
      <c r="E170" s="51"/>
      <c r="F170" s="51"/>
      <c r="G170" s="61"/>
      <c r="H170" s="51"/>
      <c r="I170" s="51"/>
      <c r="J170" s="51"/>
      <c r="K170" s="51"/>
      <c r="L170" s="52"/>
    </row>
  </sheetData>
  <mergeCells count="40">
    <mergeCell ref="C86:I87"/>
    <mergeCell ref="G139:L139"/>
    <mergeCell ref="G138:L138"/>
    <mergeCell ref="G137:L137"/>
    <mergeCell ref="C88:G89"/>
    <mergeCell ref="B59:B60"/>
    <mergeCell ref="C44:F44"/>
    <mergeCell ref="I44:K44"/>
    <mergeCell ref="C46:F46"/>
    <mergeCell ref="I46:K46"/>
    <mergeCell ref="C48:F48"/>
    <mergeCell ref="G140:L140"/>
    <mergeCell ref="F27:G27"/>
    <mergeCell ref="F28:G28"/>
    <mergeCell ref="F29:G29"/>
    <mergeCell ref="F30:G30"/>
    <mergeCell ref="D59:K59"/>
    <mergeCell ref="D60:K60"/>
    <mergeCell ref="D61:K61"/>
    <mergeCell ref="C40:F40"/>
    <mergeCell ref="C41:F41"/>
    <mergeCell ref="I40:J40"/>
    <mergeCell ref="C43:F43"/>
    <mergeCell ref="I43:K43"/>
    <mergeCell ref="C38:F38"/>
    <mergeCell ref="C36:F36"/>
    <mergeCell ref="B66:K69"/>
    <mergeCell ref="B21:G21"/>
    <mergeCell ref="B1:L1"/>
    <mergeCell ref="B34:L34"/>
    <mergeCell ref="E3:G3"/>
    <mergeCell ref="E4:G4"/>
    <mergeCell ref="E5:G5"/>
    <mergeCell ref="E6:G6"/>
    <mergeCell ref="E10:G10"/>
    <mergeCell ref="E7:G7"/>
    <mergeCell ref="E8:G8"/>
    <mergeCell ref="B17:B18"/>
    <mergeCell ref="F26:G26"/>
    <mergeCell ref="H7:I7"/>
  </mergeCells>
  <conditionalFormatting sqref="D58">
    <cfRule type="expression" dxfId="11" priority="20">
      <formula>$I$57="Yes"</formula>
    </cfRule>
  </conditionalFormatting>
  <conditionalFormatting sqref="D59:K61">
    <cfRule type="expression" dxfId="10" priority="21">
      <formula>$I$57="yes"</formula>
    </cfRule>
  </conditionalFormatting>
  <conditionalFormatting sqref="F14">
    <cfRule type="expression" dxfId="9" priority="10">
      <formula>$F$14&gt;70000</formula>
    </cfRule>
  </conditionalFormatting>
  <conditionalFormatting sqref="F15">
    <cfRule type="expression" dxfId="8" priority="9">
      <formula>$F$15&gt;70000</formula>
    </cfRule>
  </conditionalFormatting>
  <conditionalFormatting sqref="F16">
    <cfRule type="expression" dxfId="7" priority="8">
      <formula>$F$16&gt;70000</formula>
    </cfRule>
  </conditionalFormatting>
  <conditionalFormatting sqref="F17">
    <cfRule type="expression" dxfId="6" priority="7">
      <formula>$F$17&gt;70000</formula>
    </cfRule>
  </conditionalFormatting>
  <conditionalFormatting sqref="F18">
    <cfRule type="expression" dxfId="5" priority="6">
      <formula>$F$18&gt;70000</formula>
    </cfRule>
  </conditionalFormatting>
  <conditionalFormatting sqref="I14">
    <cfRule type="expression" dxfId="4" priority="5">
      <formula>$I$14&gt;70000</formula>
    </cfRule>
  </conditionalFormatting>
  <conditionalFormatting sqref="I15">
    <cfRule type="expression" dxfId="3" priority="4">
      <formula>$I$15&gt;70000</formula>
    </cfRule>
  </conditionalFormatting>
  <conditionalFormatting sqref="I16">
    <cfRule type="expression" dxfId="2" priority="3">
      <formula>$I$16&gt;70000</formula>
    </cfRule>
  </conditionalFormatting>
  <conditionalFormatting sqref="I17">
    <cfRule type="expression" dxfId="1" priority="2">
      <formula>$I$17&gt;70000</formula>
    </cfRule>
  </conditionalFormatting>
  <conditionalFormatting sqref="I18">
    <cfRule type="expression" dxfId="0" priority="1">
      <formula>$I$18&gt;70000</formula>
    </cfRule>
  </conditionalFormatting>
  <pageMargins left="0.7" right="0.7" top="0.75" bottom="0.75" header="0.3" footer="0.3"/>
  <pageSetup paperSize="9" scale="70" orientation="portrait" verticalDpi="0" r:id="rId1"/>
  <rowBreaks count="2" manualBreakCount="2">
    <brk id="32" min="1" max="11" man="1"/>
    <brk id="89" min="1" max="11" man="1"/>
  </rowBreaks>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F33F318-1E95-4ACE-9F73-8CFB4C227DC3}">
          <x14:formula1>
            <xm:f>'drop downs'!$G$1:$G$8</xm:f>
          </x14:formula1>
          <xm:sqref>E10:G10</xm:sqref>
        </x14:dataValidation>
        <x14:dataValidation type="list" allowBlank="1" showInputMessage="1" showErrorMessage="1" xr:uid="{C7CA22B7-3A27-47A9-B13B-414D30D904E1}">
          <x14:formula1>
            <xm:f>'drop downs'!$J$1:$J$2</xm:f>
          </x14:formula1>
          <xm:sqref>I57 I54 J63 I52 I21:I24</xm:sqref>
        </x14:dataValidation>
        <x14:dataValidation type="list" allowBlank="1" showInputMessage="1" showErrorMessage="1" xr:uid="{54E644CA-BDCC-413F-9DE7-5FF2E90EB358}">
          <x14:formula1>
            <xm:f>'drop downs'!$L$1:$L$2</xm:f>
          </x14:formula1>
          <xm:sqref>E7:G7</xm:sqref>
        </x14:dataValidation>
        <x14:dataValidation type="list" allowBlank="1" showInputMessage="1" showErrorMessage="1" xr:uid="{63E576D2-1E81-40F0-BA1F-F65BF9B5C2CF}">
          <x14:formula1>
            <xm:f>'drop downs'!$N$1:$N$2</xm:f>
          </x14:formula1>
          <xm:sqref>E8:G8</xm:sqref>
        </x14:dataValidation>
        <x14:dataValidation type="list" allowBlank="1" showInputMessage="1" showErrorMessage="1" xr:uid="{F8A5BCCD-D416-4AD7-B19E-B4E61DF5EF33}">
          <x14:formula1>
            <xm:f>'drop downs'!$E$1:$E$5</xm:f>
          </x14:formula1>
          <xm:sqref>E6:G6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D3A66-A874-407A-800A-5CC4AB75DB24}">
  <dimension ref="A1:U26"/>
  <sheetViews>
    <sheetView workbookViewId="0">
      <selection activeCell="A26" sqref="A26:F26"/>
    </sheetView>
  </sheetViews>
  <sheetFormatPr defaultRowHeight="15" x14ac:dyDescent="0.25"/>
  <cols>
    <col min="1" max="1" width="19.7109375" bestFit="1" customWidth="1"/>
    <col min="2" max="2" width="9.140625" style="4"/>
    <col min="3" max="3" width="17" bestFit="1" customWidth="1"/>
    <col min="6" max="6" width="26.85546875" style="164" customWidth="1"/>
    <col min="7" max="7" width="22" customWidth="1"/>
    <col min="8" max="8" width="9" style="4" customWidth="1"/>
    <col min="12" max="12" width="37.28515625" bestFit="1" customWidth="1"/>
    <col min="14" max="14" width="14.42578125" customWidth="1"/>
    <col min="17" max="17" width="75.42578125" style="27" bestFit="1" customWidth="1"/>
    <col min="18" max="19" width="9.140625" style="27"/>
    <col min="20" max="20" width="17.85546875" customWidth="1"/>
  </cols>
  <sheetData>
    <row r="1" spans="1:21" x14ac:dyDescent="0.25">
      <c r="A1" t="s">
        <v>4</v>
      </c>
      <c r="B1" s="4">
        <v>0</v>
      </c>
      <c r="E1" t="s">
        <v>360</v>
      </c>
      <c r="F1" s="163"/>
      <c r="G1" t="s">
        <v>15</v>
      </c>
      <c r="H1" s="4">
        <v>0</v>
      </c>
      <c r="J1" t="s">
        <v>21</v>
      </c>
      <c r="L1" s="144" t="s">
        <v>339</v>
      </c>
      <c r="N1" t="s">
        <v>66</v>
      </c>
      <c r="O1" t="s">
        <v>365</v>
      </c>
      <c r="Q1" s="27" t="s">
        <v>310</v>
      </c>
      <c r="T1" t="s">
        <v>86</v>
      </c>
    </row>
    <row r="2" spans="1:21" x14ac:dyDescent="0.25">
      <c r="A2" t="s">
        <v>3</v>
      </c>
      <c r="B2" s="4">
        <v>0.1</v>
      </c>
      <c r="E2" t="s">
        <v>363</v>
      </c>
      <c r="F2" s="164">
        <v>1</v>
      </c>
      <c r="G2" t="s">
        <v>11</v>
      </c>
      <c r="H2" s="4">
        <v>0</v>
      </c>
      <c r="J2" t="s">
        <v>20</v>
      </c>
      <c r="L2" s="144" t="s">
        <v>378</v>
      </c>
      <c r="N2" t="s">
        <v>65</v>
      </c>
      <c r="O2" t="s">
        <v>364</v>
      </c>
      <c r="Q2" s="27" t="s">
        <v>25</v>
      </c>
      <c r="T2" t="s">
        <v>87</v>
      </c>
    </row>
    <row r="3" spans="1:21" x14ac:dyDescent="0.25">
      <c r="B3" s="4">
        <v>0.15</v>
      </c>
      <c r="E3" t="s">
        <v>362</v>
      </c>
      <c r="F3" s="164">
        <v>1</v>
      </c>
      <c r="G3" t="s">
        <v>16</v>
      </c>
      <c r="H3" s="4">
        <v>0.1</v>
      </c>
      <c r="L3" s="144" t="s">
        <v>51</v>
      </c>
      <c r="Q3" s="27" t="s">
        <v>36</v>
      </c>
      <c r="T3" t="s">
        <v>88</v>
      </c>
      <c r="U3" s="28">
        <v>0.5</v>
      </c>
    </row>
    <row r="4" spans="1:21" x14ac:dyDescent="0.25">
      <c r="B4" s="4">
        <v>0.2</v>
      </c>
      <c r="E4" t="s">
        <v>361</v>
      </c>
      <c r="F4" s="164">
        <v>1</v>
      </c>
      <c r="G4" t="s">
        <v>14</v>
      </c>
      <c r="H4" s="4">
        <v>0.1</v>
      </c>
      <c r="L4" s="144" t="s">
        <v>386</v>
      </c>
      <c r="Q4" s="27" t="s">
        <v>357</v>
      </c>
    </row>
    <row r="5" spans="1:21" x14ac:dyDescent="0.25">
      <c r="B5" s="4">
        <v>0.25</v>
      </c>
      <c r="E5" t="s">
        <v>317</v>
      </c>
      <c r="G5" t="s">
        <v>12</v>
      </c>
      <c r="H5" s="4">
        <v>0.09</v>
      </c>
    </row>
    <row r="6" spans="1:21" x14ac:dyDescent="0.25">
      <c r="E6" t="s">
        <v>359</v>
      </c>
      <c r="G6" t="s">
        <v>45</v>
      </c>
      <c r="H6" s="4">
        <v>0.11</v>
      </c>
    </row>
    <row r="7" spans="1:21" x14ac:dyDescent="0.25">
      <c r="G7" t="s">
        <v>10</v>
      </c>
      <c r="H7" s="4">
        <v>0</v>
      </c>
    </row>
    <row r="8" spans="1:21" x14ac:dyDescent="0.25">
      <c r="G8" t="s">
        <v>13</v>
      </c>
      <c r="H8" s="4">
        <v>0.1</v>
      </c>
    </row>
    <row r="13" spans="1:21" x14ac:dyDescent="0.25">
      <c r="A13" s="3" t="s">
        <v>422</v>
      </c>
      <c r="B13" s="4" t="s">
        <v>323</v>
      </c>
      <c r="C13" t="s">
        <v>432</v>
      </c>
    </row>
    <row r="14" spans="1:21" x14ac:dyDescent="0.25">
      <c r="A14" t="s">
        <v>360</v>
      </c>
      <c r="B14" s="4" t="s">
        <v>423</v>
      </c>
      <c r="C14" s="207">
        <v>4</v>
      </c>
      <c r="D14" t="s">
        <v>429</v>
      </c>
    </row>
    <row r="15" spans="1:21" x14ac:dyDescent="0.25">
      <c r="A15" t="s">
        <v>363</v>
      </c>
      <c r="B15" s="4" t="s">
        <v>424</v>
      </c>
      <c r="C15" s="207">
        <v>8</v>
      </c>
    </row>
    <row r="16" spans="1:21" x14ac:dyDescent="0.25">
      <c r="A16" t="s">
        <v>362</v>
      </c>
      <c r="B16" s="4" t="s">
        <v>425</v>
      </c>
      <c r="C16" s="207">
        <v>4</v>
      </c>
    </row>
    <row r="17" spans="1:8" x14ac:dyDescent="0.25">
      <c r="A17" t="s">
        <v>361</v>
      </c>
      <c r="B17" s="4" t="s">
        <v>426</v>
      </c>
      <c r="C17" s="207">
        <v>4</v>
      </c>
      <c r="F17" s="164" t="str" cm="1">
        <f t="array" ref="F17:H17">CONCATENATE('Quick Quote '!F7:H7)</f>
        <v>Loss of Use Accident &amp; Illness</v>
      </c>
      <c r="G17" t="str">
        <v/>
      </c>
      <c r="H17" s="4" t="str">
        <v/>
      </c>
    </row>
    <row r="18" spans="1:8" x14ac:dyDescent="0.25">
      <c r="A18" t="s">
        <v>317</v>
      </c>
      <c r="B18" s="4" t="s">
        <v>427</v>
      </c>
      <c r="C18" s="207">
        <v>4</v>
      </c>
    </row>
    <row r="19" spans="1:8" x14ac:dyDescent="0.25">
      <c r="A19" t="s">
        <v>359</v>
      </c>
      <c r="B19" s="4" t="s">
        <v>428</v>
      </c>
      <c r="C19" s="207">
        <v>4</v>
      </c>
    </row>
    <row r="21" spans="1:8" x14ac:dyDescent="0.25">
      <c r="F21" s="144" t="s">
        <v>339</v>
      </c>
      <c r="G21" s="207">
        <v>1</v>
      </c>
    </row>
    <row r="22" spans="1:8" x14ac:dyDescent="0.25">
      <c r="A22" t="s">
        <v>430</v>
      </c>
      <c r="C22" s="164" cm="1">
        <f t="array" ref="C22:E22">LOOKUP('Quick Quote '!F6:H6,A14:A19,C14:C19)</f>
        <v>4</v>
      </c>
      <c r="D22" t="e">
        <v>#N/A</v>
      </c>
      <c r="E22" s="307" t="e">
        <v>#N/A</v>
      </c>
      <c r="F22" s="144" t="s">
        <v>378</v>
      </c>
      <c r="G22" s="207">
        <v>1</v>
      </c>
    </row>
    <row r="23" spans="1:8" x14ac:dyDescent="0.25">
      <c r="A23" t="s">
        <v>431</v>
      </c>
      <c r="C23">
        <f>LOOKUP(F17,F21:F24,G21:G24)</f>
        <v>1</v>
      </c>
      <c r="F23" s="144" t="s">
        <v>51</v>
      </c>
      <c r="G23" s="207">
        <v>0</v>
      </c>
    </row>
    <row r="24" spans="1:8" x14ac:dyDescent="0.25">
      <c r="C24">
        <f>SUM(C22:C23)</f>
        <v>5</v>
      </c>
      <c r="F24" s="144" t="s">
        <v>386</v>
      </c>
      <c r="G24" s="207">
        <v>0</v>
      </c>
    </row>
    <row r="25" spans="1:8" x14ac:dyDescent="0.25">
      <c r="A25" s="3" t="s">
        <v>433</v>
      </c>
    </row>
    <row r="26" spans="1:8" x14ac:dyDescent="0.25">
      <c r="A26" s="516" t="str">
        <f>CONCATENATE(A22,"",C24," ",A23)</f>
        <v xml:space="preserve">Are any of the animals over 5 years of age? </v>
      </c>
      <c r="B26" s="516"/>
      <c r="C26" s="516"/>
      <c r="D26" s="516"/>
      <c r="E26" s="516"/>
      <c r="F26" s="516"/>
    </row>
  </sheetData>
  <sortState xmlns:xlrd2="http://schemas.microsoft.com/office/spreadsheetml/2017/richdata2" ref="L1:L4">
    <sortCondition ref="L1:L4"/>
  </sortState>
  <mergeCells count="1">
    <mergeCell ref="A26:F26"/>
  </mergeCells>
  <phoneticPr fontId="71" type="noConversion"/>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7C80F-9A25-420F-A512-C5B5FD73B9B8}">
  <dimension ref="A1:H45"/>
  <sheetViews>
    <sheetView workbookViewId="0">
      <selection activeCell="K38" sqref="K38"/>
    </sheetView>
  </sheetViews>
  <sheetFormatPr defaultRowHeight="15" x14ac:dyDescent="0.25"/>
  <cols>
    <col min="1" max="3" width="14.140625" customWidth="1"/>
    <col min="4" max="4" width="24.140625" bestFit="1" customWidth="1"/>
    <col min="5" max="5" width="14.140625" customWidth="1"/>
    <col min="6" max="6" width="14.140625" style="14" customWidth="1"/>
    <col min="7" max="7" width="52.5703125" bestFit="1" customWidth="1"/>
  </cols>
  <sheetData>
    <row r="1" spans="1:7" x14ac:dyDescent="0.25">
      <c r="A1" s="1" t="s">
        <v>57</v>
      </c>
      <c r="B1" s="1" t="s">
        <v>368</v>
      </c>
      <c r="C1" s="1" t="s">
        <v>17</v>
      </c>
      <c r="D1" s="1" t="s">
        <v>369</v>
      </c>
      <c r="E1" s="1" t="s">
        <v>37</v>
      </c>
      <c r="F1" s="142" t="s">
        <v>370</v>
      </c>
      <c r="G1" s="1" t="s">
        <v>371</v>
      </c>
    </row>
    <row r="2" spans="1:7" x14ac:dyDescent="0.25">
      <c r="A2" s="143" t="s">
        <v>360</v>
      </c>
      <c r="B2" s="143" t="s">
        <v>364</v>
      </c>
      <c r="C2" s="143" t="s">
        <v>367</v>
      </c>
      <c r="D2" s="144" t="s">
        <v>378</v>
      </c>
      <c r="E2" s="145">
        <v>0</v>
      </c>
      <c r="F2" s="146">
        <v>0.14249999999999999</v>
      </c>
      <c r="G2" t="str">
        <f t="shared" ref="G2:G45" si="0">CONCATENATE(A2,"-",B2,"-",C2,"-",D2,"-",E2)</f>
        <v>BULLS-12M-Less 50-Loss of Use Accident &amp; Illness-0</v>
      </c>
    </row>
    <row r="3" spans="1:7" x14ac:dyDescent="0.25">
      <c r="A3" s="143" t="s">
        <v>360</v>
      </c>
      <c r="B3" s="143" t="s">
        <v>364</v>
      </c>
      <c r="C3" s="143" t="s">
        <v>367</v>
      </c>
      <c r="D3" s="144" t="s">
        <v>378</v>
      </c>
      <c r="E3" s="145">
        <v>0.2</v>
      </c>
      <c r="F3" s="146">
        <v>0.114</v>
      </c>
      <c r="G3" t="str">
        <f t="shared" si="0"/>
        <v>BULLS-12M-Less 50-Loss of Use Accident &amp; Illness-0.2</v>
      </c>
    </row>
    <row r="4" spans="1:7" x14ac:dyDescent="0.25">
      <c r="A4" s="143" t="s">
        <v>360</v>
      </c>
      <c r="B4" s="143" t="s">
        <v>364</v>
      </c>
      <c r="C4" s="143" t="s">
        <v>367</v>
      </c>
      <c r="D4" s="144" t="s">
        <v>51</v>
      </c>
      <c r="E4" s="145">
        <v>0</v>
      </c>
      <c r="F4" s="146">
        <v>5.8900000000000001E-2</v>
      </c>
      <c r="G4" t="str">
        <f t="shared" si="0"/>
        <v>BULLS-12M-Less 50-Mortality-0</v>
      </c>
    </row>
    <row r="5" spans="1:7" x14ac:dyDescent="0.25">
      <c r="A5" s="143" t="s">
        <v>360</v>
      </c>
      <c r="B5" s="143" t="s">
        <v>364</v>
      </c>
      <c r="C5" s="143" t="s">
        <v>367</v>
      </c>
      <c r="D5" s="144" t="s">
        <v>51</v>
      </c>
      <c r="E5" s="145">
        <v>0.2</v>
      </c>
      <c r="F5" s="146">
        <v>4.7100000000000003E-2</v>
      </c>
      <c r="G5" t="str">
        <f t="shared" si="0"/>
        <v>BULLS-12M-Less 50-Mortality-0.2</v>
      </c>
    </row>
    <row r="6" spans="1:7" x14ac:dyDescent="0.25">
      <c r="A6" s="143" t="s">
        <v>360</v>
      </c>
      <c r="B6" s="143" t="s">
        <v>364</v>
      </c>
      <c r="C6" s="143" t="s">
        <v>366</v>
      </c>
      <c r="D6" s="144" t="s">
        <v>378</v>
      </c>
      <c r="E6" s="145">
        <v>0</v>
      </c>
      <c r="F6" s="146">
        <v>0.14249999999999999</v>
      </c>
      <c r="G6" t="str">
        <f t="shared" si="0"/>
        <v>BULLS-12M-More 50-Loss of Use Accident &amp; Illness-0</v>
      </c>
    </row>
    <row r="7" spans="1:7" x14ac:dyDescent="0.25">
      <c r="A7" s="143" t="s">
        <v>360</v>
      </c>
      <c r="B7" s="143" t="s">
        <v>364</v>
      </c>
      <c r="C7" s="143" t="s">
        <v>366</v>
      </c>
      <c r="D7" s="144" t="s">
        <v>378</v>
      </c>
      <c r="E7" s="145">
        <v>0.2</v>
      </c>
      <c r="F7" s="146">
        <v>0.114</v>
      </c>
      <c r="G7" t="str">
        <f t="shared" si="0"/>
        <v>BULLS-12M-More 50-Loss of Use Accident &amp; Illness-0.2</v>
      </c>
    </row>
    <row r="8" spans="1:7" x14ac:dyDescent="0.25">
      <c r="A8" s="143" t="s">
        <v>360</v>
      </c>
      <c r="B8" s="143" t="s">
        <v>364</v>
      </c>
      <c r="C8" s="143" t="s">
        <v>366</v>
      </c>
      <c r="D8" s="144" t="s">
        <v>51</v>
      </c>
      <c r="E8" s="145">
        <v>0</v>
      </c>
      <c r="F8" s="146">
        <v>5.8900000000000001E-2</v>
      </c>
      <c r="G8" t="str">
        <f t="shared" si="0"/>
        <v>BULLS-12M-More 50-Mortality-0</v>
      </c>
    </row>
    <row r="9" spans="1:7" x14ac:dyDescent="0.25">
      <c r="A9" s="143" t="s">
        <v>360</v>
      </c>
      <c r="B9" s="143" t="s">
        <v>364</v>
      </c>
      <c r="C9" s="143" t="s">
        <v>366</v>
      </c>
      <c r="D9" s="144" t="s">
        <v>51</v>
      </c>
      <c r="E9" s="145">
        <v>0.2</v>
      </c>
      <c r="F9" s="146">
        <v>4.7100000000000003E-2</v>
      </c>
      <c r="G9" t="str">
        <f t="shared" si="0"/>
        <v>BULLS-12M-More 50-Mortality-0.2</v>
      </c>
    </row>
    <row r="10" spans="1:7" x14ac:dyDescent="0.25">
      <c r="A10" s="143" t="s">
        <v>360</v>
      </c>
      <c r="B10" s="143" t="s">
        <v>365</v>
      </c>
      <c r="C10" s="143" t="s">
        <v>367</v>
      </c>
      <c r="D10" s="144" t="s">
        <v>378</v>
      </c>
      <c r="E10" s="145">
        <v>0</v>
      </c>
      <c r="F10" s="146">
        <v>0.114</v>
      </c>
      <c r="G10" t="str">
        <f t="shared" si="0"/>
        <v>BULLS-6M-Less 50-Loss of Use Accident &amp; Illness-0</v>
      </c>
    </row>
    <row r="11" spans="1:7" x14ac:dyDescent="0.25">
      <c r="A11" s="143" t="s">
        <v>360</v>
      </c>
      <c r="B11" s="143" t="s">
        <v>365</v>
      </c>
      <c r="C11" s="143" t="s">
        <v>367</v>
      </c>
      <c r="D11" s="144" t="s">
        <v>378</v>
      </c>
      <c r="E11" s="145">
        <v>0.2</v>
      </c>
      <c r="F11" s="146">
        <v>9.1200000000000003E-2</v>
      </c>
      <c r="G11" t="str">
        <f t="shared" si="0"/>
        <v>BULLS-6M-Less 50-Loss of Use Accident &amp; Illness-0.2</v>
      </c>
    </row>
    <row r="12" spans="1:7" x14ac:dyDescent="0.25">
      <c r="A12" s="143" t="s">
        <v>360</v>
      </c>
      <c r="B12" s="143" t="s">
        <v>365</v>
      </c>
      <c r="C12" s="143" t="s">
        <v>367</v>
      </c>
      <c r="D12" s="144" t="s">
        <v>51</v>
      </c>
      <c r="E12" s="145">
        <v>0</v>
      </c>
      <c r="F12" s="146">
        <v>4.7100000000000003E-2</v>
      </c>
      <c r="G12" t="str">
        <f t="shared" si="0"/>
        <v>BULLS-6M-Less 50-Mortality-0</v>
      </c>
    </row>
    <row r="13" spans="1:7" x14ac:dyDescent="0.25">
      <c r="A13" s="143" t="s">
        <v>360</v>
      </c>
      <c r="B13" s="143" t="s">
        <v>365</v>
      </c>
      <c r="C13" s="143" t="s">
        <v>367</v>
      </c>
      <c r="D13" s="144" t="s">
        <v>51</v>
      </c>
      <c r="E13" s="145">
        <v>0.2</v>
      </c>
      <c r="F13" s="146">
        <v>3.7699999999999997E-2</v>
      </c>
      <c r="G13" t="str">
        <f t="shared" si="0"/>
        <v>BULLS-6M-Less 50-Mortality-0.2</v>
      </c>
    </row>
    <row r="14" spans="1:7" x14ac:dyDescent="0.25">
      <c r="A14" s="143" t="s">
        <v>360</v>
      </c>
      <c r="B14" s="143" t="s">
        <v>365</v>
      </c>
      <c r="C14" s="143" t="s">
        <v>366</v>
      </c>
      <c r="D14" s="144" t="s">
        <v>378</v>
      </c>
      <c r="E14" s="145">
        <v>0</v>
      </c>
      <c r="F14" s="146">
        <v>0.114</v>
      </c>
      <c r="G14" t="str">
        <f t="shared" si="0"/>
        <v>BULLS-6M-More 50-Loss of Use Accident &amp; Illness-0</v>
      </c>
    </row>
    <row r="15" spans="1:7" x14ac:dyDescent="0.25">
      <c r="A15" s="143" t="s">
        <v>360</v>
      </c>
      <c r="B15" s="143" t="s">
        <v>365</v>
      </c>
      <c r="C15" s="143" t="s">
        <v>366</v>
      </c>
      <c r="D15" s="144" t="s">
        <v>378</v>
      </c>
      <c r="E15" s="145">
        <v>0.2</v>
      </c>
      <c r="F15" s="146">
        <v>9.1200000000000003E-2</v>
      </c>
      <c r="G15" t="str">
        <f t="shared" si="0"/>
        <v>BULLS-6M-More 50-Loss of Use Accident &amp; Illness-0.2</v>
      </c>
    </row>
    <row r="16" spans="1:7" x14ac:dyDescent="0.25">
      <c r="A16" s="143" t="s">
        <v>360</v>
      </c>
      <c r="B16" s="143" t="s">
        <v>365</v>
      </c>
      <c r="C16" s="143" t="s">
        <v>366</v>
      </c>
      <c r="D16" s="144" t="s">
        <v>51</v>
      </c>
      <c r="E16" s="145">
        <v>0</v>
      </c>
      <c r="F16" s="146">
        <v>4.7100000000000003E-2</v>
      </c>
      <c r="G16" t="str">
        <f t="shared" si="0"/>
        <v>BULLS-6M-More 50-Mortality-0</v>
      </c>
    </row>
    <row r="17" spans="1:7" x14ac:dyDescent="0.25">
      <c r="A17" s="143" t="s">
        <v>360</v>
      </c>
      <c r="B17" s="143" t="s">
        <v>365</v>
      </c>
      <c r="C17" s="143" t="s">
        <v>366</v>
      </c>
      <c r="D17" s="144" t="s">
        <v>51</v>
      </c>
      <c r="E17" s="145">
        <v>0.2</v>
      </c>
      <c r="F17" s="146">
        <v>3.7699999999999997E-2</v>
      </c>
      <c r="G17" t="str">
        <f t="shared" si="0"/>
        <v>BULLS-6M-More 50-Mortality-0.2</v>
      </c>
    </row>
    <row r="18" spans="1:7" x14ac:dyDescent="0.25">
      <c r="A18" s="143" t="s">
        <v>363</v>
      </c>
      <c r="B18" s="143" t="s">
        <v>364</v>
      </c>
      <c r="C18" s="143" t="s">
        <v>367</v>
      </c>
      <c r="D18" s="144" t="s">
        <v>51</v>
      </c>
      <c r="E18" s="145">
        <v>0</v>
      </c>
      <c r="F18" s="147">
        <v>7.3999999999999996E-2</v>
      </c>
      <c r="G18" t="str">
        <f t="shared" si="0"/>
        <v>COWS-12M-Less 50-Mortality-0</v>
      </c>
    </row>
    <row r="19" spans="1:7" x14ac:dyDescent="0.25">
      <c r="A19" s="143" t="s">
        <v>363</v>
      </c>
      <c r="B19" s="143" t="s">
        <v>364</v>
      </c>
      <c r="C19" s="143" t="s">
        <v>367</v>
      </c>
      <c r="D19" s="144" t="s">
        <v>51</v>
      </c>
      <c r="E19" s="145">
        <v>0.2</v>
      </c>
      <c r="F19" s="147">
        <v>5.9200000000000003E-2</v>
      </c>
      <c r="G19" t="str">
        <f t="shared" si="0"/>
        <v>COWS-12M-Less 50-Mortality-0.2</v>
      </c>
    </row>
    <row r="20" spans="1:7" x14ac:dyDescent="0.25">
      <c r="A20" s="143" t="s">
        <v>363</v>
      </c>
      <c r="B20" s="143" t="s">
        <v>364</v>
      </c>
      <c r="C20" s="143" t="s">
        <v>366</v>
      </c>
      <c r="D20" s="144" t="s">
        <v>51</v>
      </c>
      <c r="E20" s="145">
        <v>0</v>
      </c>
      <c r="F20" s="147">
        <v>7.3999999999999996E-2</v>
      </c>
      <c r="G20" t="str">
        <f t="shared" si="0"/>
        <v>COWS-12M-More 50-Mortality-0</v>
      </c>
    </row>
    <row r="21" spans="1:7" x14ac:dyDescent="0.25">
      <c r="A21" s="143" t="s">
        <v>363</v>
      </c>
      <c r="B21" s="143" t="s">
        <v>364</v>
      </c>
      <c r="C21" s="143" t="s">
        <v>366</v>
      </c>
      <c r="D21" s="144" t="s">
        <v>51</v>
      </c>
      <c r="E21" s="145">
        <v>0.2</v>
      </c>
      <c r="F21" s="147">
        <v>5.9200000000000003E-2</v>
      </c>
      <c r="G21" t="str">
        <f t="shared" si="0"/>
        <v>COWS-12M-More 50-Mortality-0.2</v>
      </c>
    </row>
    <row r="22" spans="1:7" x14ac:dyDescent="0.25">
      <c r="A22" s="143" t="s">
        <v>363</v>
      </c>
      <c r="B22" s="143" t="s">
        <v>365</v>
      </c>
      <c r="C22" s="143" t="s">
        <v>367</v>
      </c>
      <c r="D22" s="144" t="s">
        <v>51</v>
      </c>
      <c r="E22" s="145">
        <v>0</v>
      </c>
      <c r="F22" s="147">
        <v>0.05</v>
      </c>
      <c r="G22" t="str">
        <f t="shared" si="0"/>
        <v>COWS-6M-Less 50-Mortality-0</v>
      </c>
    </row>
    <row r="23" spans="1:7" x14ac:dyDescent="0.25">
      <c r="A23" s="143" t="s">
        <v>363</v>
      </c>
      <c r="B23" s="143" t="s">
        <v>365</v>
      </c>
      <c r="C23" s="143" t="s">
        <v>367</v>
      </c>
      <c r="D23" s="144" t="s">
        <v>51</v>
      </c>
      <c r="E23" s="145">
        <v>0.2</v>
      </c>
      <c r="F23" s="147">
        <v>0.04</v>
      </c>
      <c r="G23" t="str">
        <f t="shared" si="0"/>
        <v>COWS-6M-Less 50-Mortality-0.2</v>
      </c>
    </row>
    <row r="24" spans="1:7" x14ac:dyDescent="0.25">
      <c r="A24" s="143" t="s">
        <v>363</v>
      </c>
      <c r="B24" s="143" t="s">
        <v>365</v>
      </c>
      <c r="C24" s="143" t="s">
        <v>366</v>
      </c>
      <c r="D24" s="144" t="s">
        <v>51</v>
      </c>
      <c r="E24" s="145">
        <v>0</v>
      </c>
      <c r="F24" s="147">
        <v>0.05</v>
      </c>
      <c r="G24" t="str">
        <f t="shared" si="0"/>
        <v>COWS-6M-More 50-Mortality-0</v>
      </c>
    </row>
    <row r="25" spans="1:7" x14ac:dyDescent="0.25">
      <c r="A25" s="143" t="s">
        <v>363</v>
      </c>
      <c r="B25" s="143" t="s">
        <v>365</v>
      </c>
      <c r="C25" s="143" t="s">
        <v>366</v>
      </c>
      <c r="D25" s="144" t="s">
        <v>51</v>
      </c>
      <c r="E25" s="145">
        <v>0.2</v>
      </c>
      <c r="F25" s="147">
        <v>0.04</v>
      </c>
      <c r="G25" t="str">
        <f t="shared" si="0"/>
        <v>COWS-6M-More 50-Mortality-0.2</v>
      </c>
    </row>
    <row r="26" spans="1:7" x14ac:dyDescent="0.25">
      <c r="A26" s="143" t="s">
        <v>362</v>
      </c>
      <c r="B26" s="143" t="s">
        <v>364</v>
      </c>
      <c r="C26" s="143" t="s">
        <v>367</v>
      </c>
      <c r="D26" s="144" t="s">
        <v>51</v>
      </c>
      <c r="E26" s="145">
        <v>0</v>
      </c>
      <c r="F26" s="147">
        <v>0.14849999999999999</v>
      </c>
      <c r="G26" t="str">
        <f t="shared" si="0"/>
        <v>EWES-12M-Less 50-Mortality-0</v>
      </c>
    </row>
    <row r="27" spans="1:7" x14ac:dyDescent="0.25">
      <c r="A27" s="143" t="s">
        <v>362</v>
      </c>
      <c r="B27" s="143" t="s">
        <v>364</v>
      </c>
      <c r="C27" s="143" t="s">
        <v>367</v>
      </c>
      <c r="D27" s="144" t="s">
        <v>51</v>
      </c>
      <c r="E27" s="145">
        <v>0.2</v>
      </c>
      <c r="F27" s="147">
        <v>0.1188</v>
      </c>
      <c r="G27" t="str">
        <f t="shared" si="0"/>
        <v>EWES-12M-Less 50-Mortality-0.2</v>
      </c>
    </row>
    <row r="28" spans="1:7" x14ac:dyDescent="0.25">
      <c r="A28" s="143" t="s">
        <v>362</v>
      </c>
      <c r="B28" s="143" t="s">
        <v>364</v>
      </c>
      <c r="C28" s="143" t="s">
        <v>366</v>
      </c>
      <c r="D28" s="144" t="s">
        <v>51</v>
      </c>
      <c r="E28" s="145">
        <v>0</v>
      </c>
      <c r="F28" s="147">
        <v>0.14849999999999999</v>
      </c>
      <c r="G28" t="str">
        <f t="shared" si="0"/>
        <v>EWES-12M-More 50-Mortality-0</v>
      </c>
    </row>
    <row r="29" spans="1:7" x14ac:dyDescent="0.25">
      <c r="A29" s="143" t="s">
        <v>362</v>
      </c>
      <c r="B29" s="143" t="s">
        <v>364</v>
      </c>
      <c r="C29" s="143" t="s">
        <v>366</v>
      </c>
      <c r="D29" s="144" t="s">
        <v>51</v>
      </c>
      <c r="E29" s="145">
        <v>0.2</v>
      </c>
      <c r="F29" s="147">
        <v>0.1188</v>
      </c>
      <c r="G29" t="str">
        <f t="shared" si="0"/>
        <v>EWES-12M-More 50-Mortality-0.2</v>
      </c>
    </row>
    <row r="30" spans="1:7" x14ac:dyDescent="0.25">
      <c r="A30" s="143" t="s">
        <v>362</v>
      </c>
      <c r="B30" s="143" t="s">
        <v>365</v>
      </c>
      <c r="C30" s="143" t="s">
        <v>367</v>
      </c>
      <c r="D30" s="144" t="s">
        <v>51</v>
      </c>
      <c r="E30" s="145">
        <v>0</v>
      </c>
      <c r="F30" s="147">
        <v>0.10150000000000001</v>
      </c>
      <c r="G30" t="str">
        <f t="shared" si="0"/>
        <v>EWES-6M-Less 50-Mortality-0</v>
      </c>
    </row>
    <row r="31" spans="1:7" x14ac:dyDescent="0.25">
      <c r="A31" s="143" t="s">
        <v>362</v>
      </c>
      <c r="B31" s="143" t="s">
        <v>365</v>
      </c>
      <c r="C31" s="143" t="s">
        <v>367</v>
      </c>
      <c r="D31" s="144" t="s">
        <v>51</v>
      </c>
      <c r="E31" s="145">
        <v>0.2</v>
      </c>
      <c r="F31" s="147">
        <v>8.1199999999999994E-2</v>
      </c>
      <c r="G31" t="str">
        <f t="shared" si="0"/>
        <v>EWES-6M-Less 50-Mortality-0.2</v>
      </c>
    </row>
    <row r="32" spans="1:7" x14ac:dyDescent="0.25">
      <c r="A32" s="143" t="s">
        <v>362</v>
      </c>
      <c r="B32" s="143" t="s">
        <v>365</v>
      </c>
      <c r="C32" s="143" t="s">
        <v>366</v>
      </c>
      <c r="D32" s="144" t="s">
        <v>51</v>
      </c>
      <c r="E32" s="145">
        <v>0</v>
      </c>
      <c r="F32" s="147">
        <v>0.10150000000000001</v>
      </c>
      <c r="G32" t="str">
        <f t="shared" si="0"/>
        <v>EWES-6M-More 50-Mortality-0</v>
      </c>
    </row>
    <row r="33" spans="1:8" x14ac:dyDescent="0.25">
      <c r="A33" s="143" t="s">
        <v>362</v>
      </c>
      <c r="B33" s="143" t="s">
        <v>365</v>
      </c>
      <c r="C33" s="143" t="s">
        <v>366</v>
      </c>
      <c r="D33" s="144" t="s">
        <v>51</v>
      </c>
      <c r="E33" s="145">
        <v>0.2</v>
      </c>
      <c r="F33" s="147">
        <v>8.1199999999999994E-2</v>
      </c>
      <c r="G33" t="str">
        <f t="shared" si="0"/>
        <v>EWES-6M-More 50-Mortality-0.2</v>
      </c>
    </row>
    <row r="34" spans="1:8" x14ac:dyDescent="0.25">
      <c r="A34" s="308" t="s">
        <v>361</v>
      </c>
      <c r="B34" s="308" t="s">
        <v>364</v>
      </c>
      <c r="C34" s="308" t="s">
        <v>367</v>
      </c>
      <c r="D34" s="309" t="s">
        <v>51</v>
      </c>
      <c r="E34" s="310">
        <v>0.2</v>
      </c>
      <c r="F34" s="311">
        <v>0</v>
      </c>
      <c r="G34" t="str">
        <f t="shared" si="0"/>
        <v>GOATS-12M-Less 50-Mortality-0.2</v>
      </c>
      <c r="H34" t="s">
        <v>437</v>
      </c>
    </row>
    <row r="35" spans="1:8" x14ac:dyDescent="0.25">
      <c r="A35" s="308" t="s">
        <v>361</v>
      </c>
      <c r="B35" s="308" t="s">
        <v>364</v>
      </c>
      <c r="C35" s="308" t="s">
        <v>366</v>
      </c>
      <c r="D35" s="309" t="s">
        <v>51</v>
      </c>
      <c r="E35" s="310">
        <v>0.2</v>
      </c>
      <c r="F35" s="311">
        <v>0</v>
      </c>
      <c r="G35" t="str">
        <f t="shared" si="0"/>
        <v>GOATS-12M-More 50-Mortality-0.2</v>
      </c>
      <c r="H35" t="s">
        <v>437</v>
      </c>
    </row>
    <row r="36" spans="1:8" x14ac:dyDescent="0.25">
      <c r="A36" s="308" t="s">
        <v>361</v>
      </c>
      <c r="B36" s="308" t="s">
        <v>365</v>
      </c>
      <c r="C36" s="308" t="s">
        <v>367</v>
      </c>
      <c r="D36" s="309" t="s">
        <v>51</v>
      </c>
      <c r="E36" s="310">
        <v>0.2</v>
      </c>
      <c r="F36" s="311">
        <v>0</v>
      </c>
      <c r="G36" t="str">
        <f t="shared" si="0"/>
        <v>GOATS-6M-Less 50-Mortality-0.2</v>
      </c>
      <c r="H36" t="s">
        <v>437</v>
      </c>
    </row>
    <row r="37" spans="1:8" x14ac:dyDescent="0.25">
      <c r="A37" s="308" t="s">
        <v>361</v>
      </c>
      <c r="B37" s="308" t="s">
        <v>365</v>
      </c>
      <c r="C37" s="308" t="s">
        <v>366</v>
      </c>
      <c r="D37" s="309" t="s">
        <v>51</v>
      </c>
      <c r="E37" s="310">
        <v>0.2</v>
      </c>
      <c r="F37" s="311">
        <v>0</v>
      </c>
      <c r="G37" t="str">
        <f t="shared" si="0"/>
        <v>GOATS-6M-More 50-Mortality-0.2</v>
      </c>
      <c r="H37" t="s">
        <v>437</v>
      </c>
    </row>
    <row r="38" spans="1:8" x14ac:dyDescent="0.25">
      <c r="A38" s="143" t="s">
        <v>359</v>
      </c>
      <c r="B38" s="143" t="s">
        <v>364</v>
      </c>
      <c r="C38" s="143" t="s">
        <v>367</v>
      </c>
      <c r="D38" s="144" t="s">
        <v>51</v>
      </c>
      <c r="E38" s="145">
        <v>0</v>
      </c>
      <c r="F38" s="146">
        <v>0.128</v>
      </c>
      <c r="G38" t="str">
        <f t="shared" si="0"/>
        <v>RAMS-12M-Less 50-Mortality-0</v>
      </c>
    </row>
    <row r="39" spans="1:8" x14ac:dyDescent="0.25">
      <c r="A39" s="143" t="s">
        <v>359</v>
      </c>
      <c r="B39" s="143" t="s">
        <v>364</v>
      </c>
      <c r="C39" s="143" t="s">
        <v>367</v>
      </c>
      <c r="D39" s="144" t="s">
        <v>51</v>
      </c>
      <c r="E39" s="145">
        <v>0.2</v>
      </c>
      <c r="F39" s="146">
        <v>0.1024</v>
      </c>
      <c r="G39" t="str">
        <f t="shared" si="0"/>
        <v>RAMS-12M-Less 50-Mortality-0.2</v>
      </c>
    </row>
    <row r="40" spans="1:8" x14ac:dyDescent="0.25">
      <c r="A40" s="143" t="s">
        <v>359</v>
      </c>
      <c r="B40" s="143" t="s">
        <v>364</v>
      </c>
      <c r="C40" s="143" t="s">
        <v>366</v>
      </c>
      <c r="D40" s="144" t="s">
        <v>51</v>
      </c>
      <c r="E40" s="145">
        <v>0</v>
      </c>
      <c r="F40" s="146">
        <v>0.128</v>
      </c>
      <c r="G40" t="str">
        <f t="shared" si="0"/>
        <v>RAMS-12M-More 50-Mortality-0</v>
      </c>
    </row>
    <row r="41" spans="1:8" x14ac:dyDescent="0.25">
      <c r="A41" s="143" t="s">
        <v>359</v>
      </c>
      <c r="B41" s="143" t="s">
        <v>364</v>
      </c>
      <c r="C41" s="143" t="s">
        <v>366</v>
      </c>
      <c r="D41" s="144" t="s">
        <v>51</v>
      </c>
      <c r="E41" s="145">
        <v>0.2</v>
      </c>
      <c r="F41" s="146">
        <v>0.1024</v>
      </c>
      <c r="G41" t="str">
        <f t="shared" si="0"/>
        <v>RAMS-12M-More 50-Mortality-0.2</v>
      </c>
    </row>
    <row r="42" spans="1:8" x14ac:dyDescent="0.25">
      <c r="A42" s="143" t="s">
        <v>359</v>
      </c>
      <c r="B42" s="143" t="s">
        <v>365</v>
      </c>
      <c r="C42" s="143" t="s">
        <v>367</v>
      </c>
      <c r="D42" s="144" t="s">
        <v>51</v>
      </c>
      <c r="E42" s="145">
        <v>0</v>
      </c>
      <c r="F42" s="146">
        <v>8.4500000000000006E-2</v>
      </c>
      <c r="G42" t="str">
        <f t="shared" si="0"/>
        <v>RAMS-6M-Less 50-Mortality-0</v>
      </c>
    </row>
    <row r="43" spans="1:8" x14ac:dyDescent="0.25">
      <c r="A43" s="143" t="s">
        <v>359</v>
      </c>
      <c r="B43" s="143" t="s">
        <v>365</v>
      </c>
      <c r="C43" s="143" t="s">
        <v>367</v>
      </c>
      <c r="D43" s="144" t="s">
        <v>51</v>
      </c>
      <c r="E43" s="145">
        <v>0.2</v>
      </c>
      <c r="F43" s="146">
        <v>6.7599999999999993E-2</v>
      </c>
      <c r="G43" t="str">
        <f t="shared" si="0"/>
        <v>RAMS-6M-Less 50-Mortality-0.2</v>
      </c>
    </row>
    <row r="44" spans="1:8" x14ac:dyDescent="0.25">
      <c r="A44" s="143" t="s">
        <v>359</v>
      </c>
      <c r="B44" s="143" t="s">
        <v>365</v>
      </c>
      <c r="C44" s="143" t="s">
        <v>366</v>
      </c>
      <c r="D44" s="144" t="s">
        <v>51</v>
      </c>
      <c r="E44" s="145">
        <v>0</v>
      </c>
      <c r="F44" s="146">
        <v>8.4500000000000006E-2</v>
      </c>
      <c r="G44" t="str">
        <f t="shared" si="0"/>
        <v>RAMS-6M-More 50-Mortality-0</v>
      </c>
    </row>
    <row r="45" spans="1:8" x14ac:dyDescent="0.25">
      <c r="A45" s="143" t="s">
        <v>359</v>
      </c>
      <c r="B45" s="143" t="s">
        <v>365</v>
      </c>
      <c r="C45" s="143" t="s">
        <v>366</v>
      </c>
      <c r="D45" s="144" t="s">
        <v>51</v>
      </c>
      <c r="E45" s="145">
        <v>0.2</v>
      </c>
      <c r="F45" s="146">
        <v>6.7599999999999993E-2</v>
      </c>
      <c r="G45" t="str">
        <f t="shared" si="0"/>
        <v>RAMS-6M-More 50-Mortality-0.2</v>
      </c>
    </row>
  </sheetData>
  <autoFilter ref="A1:G47" xr:uid="{2DD7C80F-9A25-420F-A512-C5B5FD73B9B8}">
    <sortState xmlns:xlrd2="http://schemas.microsoft.com/office/spreadsheetml/2017/richdata2" ref="A2:G47">
      <sortCondition ref="G1:G47"/>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47406-C352-447F-A5E1-0DF336811ACB}">
  <dimension ref="A1:G201"/>
  <sheetViews>
    <sheetView workbookViewId="0">
      <selection activeCell="F205" sqref="F205"/>
    </sheetView>
  </sheetViews>
  <sheetFormatPr defaultRowHeight="15" x14ac:dyDescent="0.25"/>
  <cols>
    <col min="1" max="3" width="14.140625" customWidth="1"/>
    <col min="4" max="4" width="24.140625" bestFit="1" customWidth="1"/>
    <col min="5" max="5" width="14.140625" customWidth="1"/>
    <col min="6" max="6" width="14.140625" style="14" customWidth="1"/>
    <col min="7" max="7" width="52.5703125" bestFit="1" customWidth="1"/>
    <col min="10" max="10" width="47.7109375" bestFit="1" customWidth="1"/>
  </cols>
  <sheetData>
    <row r="1" spans="1:7" s="1" customFormat="1" x14ac:dyDescent="0.25">
      <c r="A1" s="1" t="s">
        <v>57</v>
      </c>
      <c r="B1" s="1" t="s">
        <v>368</v>
      </c>
      <c r="C1" s="1" t="s">
        <v>17</v>
      </c>
      <c r="D1" s="1" t="s">
        <v>369</v>
      </c>
      <c r="E1" s="1" t="s">
        <v>37</v>
      </c>
      <c r="F1" s="142" t="s">
        <v>370</v>
      </c>
      <c r="G1" s="1" t="s">
        <v>371</v>
      </c>
    </row>
    <row r="2" spans="1:7" x14ac:dyDescent="0.25">
      <c r="A2" s="143" t="s">
        <v>360</v>
      </c>
      <c r="B2" s="143" t="s">
        <v>364</v>
      </c>
      <c r="C2" s="143" t="s">
        <v>367</v>
      </c>
      <c r="D2" s="144" t="s">
        <v>378</v>
      </c>
      <c r="E2" s="145">
        <v>0</v>
      </c>
      <c r="F2" s="146">
        <v>0.11849999999999999</v>
      </c>
      <c r="G2" t="str">
        <f t="shared" ref="G2:G33" si="0">CONCATENATE(A2,"-",B2,"-",C2,"-",D2,"-",E2)</f>
        <v>BULLS-12M-Less 50-Loss of Use Accident &amp; Illness-0</v>
      </c>
    </row>
    <row r="3" spans="1:7" x14ac:dyDescent="0.25">
      <c r="A3" s="143" t="s">
        <v>360</v>
      </c>
      <c r="B3" s="143" t="s">
        <v>364</v>
      </c>
      <c r="C3" s="143" t="s">
        <v>367</v>
      </c>
      <c r="D3" s="144" t="s">
        <v>378</v>
      </c>
      <c r="E3" s="145">
        <v>0.1</v>
      </c>
      <c r="F3" s="146">
        <v>0.1066</v>
      </c>
      <c r="G3" t="str">
        <f t="shared" si="0"/>
        <v>BULLS-12M-Less 50-Loss of Use Accident &amp; Illness-0.1</v>
      </c>
    </row>
    <row r="4" spans="1:7" x14ac:dyDescent="0.25">
      <c r="A4" s="143" t="s">
        <v>360</v>
      </c>
      <c r="B4" s="143" t="s">
        <v>364</v>
      </c>
      <c r="C4" s="143" t="s">
        <v>367</v>
      </c>
      <c r="D4" s="144" t="s">
        <v>378</v>
      </c>
      <c r="E4" s="145">
        <v>0.15</v>
      </c>
      <c r="F4" s="146">
        <v>0.1007</v>
      </c>
      <c r="G4" t="str">
        <f t="shared" si="0"/>
        <v>BULLS-12M-Less 50-Loss of Use Accident &amp; Illness-0.15</v>
      </c>
    </row>
    <row r="5" spans="1:7" x14ac:dyDescent="0.25">
      <c r="A5" s="143" t="s">
        <v>360</v>
      </c>
      <c r="B5" s="143" t="s">
        <v>364</v>
      </c>
      <c r="C5" s="143" t="s">
        <v>367</v>
      </c>
      <c r="D5" s="144" t="s">
        <v>378</v>
      </c>
      <c r="E5" s="145">
        <v>0.2</v>
      </c>
      <c r="F5" s="146">
        <v>9.4799999999999995E-2</v>
      </c>
      <c r="G5" t="str">
        <f t="shared" si="0"/>
        <v>BULLS-12M-Less 50-Loss of Use Accident &amp; Illness-0.2</v>
      </c>
    </row>
    <row r="6" spans="1:7" x14ac:dyDescent="0.25">
      <c r="A6" s="143" t="s">
        <v>360</v>
      </c>
      <c r="B6" s="143" t="s">
        <v>364</v>
      </c>
      <c r="C6" s="143" t="s">
        <v>367</v>
      </c>
      <c r="D6" s="144" t="s">
        <v>378</v>
      </c>
      <c r="E6" s="145">
        <v>0.25</v>
      </c>
      <c r="F6" s="146">
        <v>8.8800000000000004E-2</v>
      </c>
      <c r="G6" t="str">
        <f t="shared" si="0"/>
        <v>BULLS-12M-Less 50-Loss of Use Accident &amp; Illness-0.25</v>
      </c>
    </row>
    <row r="7" spans="1:7" x14ac:dyDescent="0.25">
      <c r="A7" s="143" t="s">
        <v>360</v>
      </c>
      <c r="B7" s="143" t="s">
        <v>364</v>
      </c>
      <c r="C7" s="143" t="s">
        <v>367</v>
      </c>
      <c r="D7" s="144" t="s">
        <v>339</v>
      </c>
      <c r="E7" s="145">
        <v>0</v>
      </c>
      <c r="F7" s="146">
        <v>0.1135</v>
      </c>
      <c r="G7" t="str">
        <f t="shared" si="0"/>
        <v>BULLS-12M-Less 50-Loss of Use Accident-0</v>
      </c>
    </row>
    <row r="8" spans="1:7" x14ac:dyDescent="0.25">
      <c r="A8" s="143" t="s">
        <v>360</v>
      </c>
      <c r="B8" s="143" t="s">
        <v>364</v>
      </c>
      <c r="C8" s="143" t="s">
        <v>367</v>
      </c>
      <c r="D8" s="144" t="s">
        <v>339</v>
      </c>
      <c r="E8" s="145">
        <v>0.1</v>
      </c>
      <c r="F8" s="146">
        <v>0.1022</v>
      </c>
      <c r="G8" t="str">
        <f t="shared" si="0"/>
        <v>BULLS-12M-Less 50-Loss of Use Accident-0.1</v>
      </c>
    </row>
    <row r="9" spans="1:7" x14ac:dyDescent="0.25">
      <c r="A9" s="143" t="s">
        <v>360</v>
      </c>
      <c r="B9" s="143" t="s">
        <v>364</v>
      </c>
      <c r="C9" s="143" t="s">
        <v>367</v>
      </c>
      <c r="D9" s="144" t="s">
        <v>339</v>
      </c>
      <c r="E9" s="145">
        <v>0.15</v>
      </c>
      <c r="F9" s="146">
        <v>9.6500000000000002E-2</v>
      </c>
      <c r="G9" t="str">
        <f t="shared" si="0"/>
        <v>BULLS-12M-Less 50-Loss of Use Accident-0.15</v>
      </c>
    </row>
    <row r="10" spans="1:7" x14ac:dyDescent="0.25">
      <c r="A10" s="143" t="s">
        <v>360</v>
      </c>
      <c r="B10" s="143" t="s">
        <v>364</v>
      </c>
      <c r="C10" s="143" t="s">
        <v>367</v>
      </c>
      <c r="D10" s="144" t="s">
        <v>339</v>
      </c>
      <c r="E10" s="145">
        <v>0.2</v>
      </c>
      <c r="F10" s="146">
        <v>9.0800000000000006E-2</v>
      </c>
      <c r="G10" t="str">
        <f t="shared" si="0"/>
        <v>BULLS-12M-Less 50-Loss of Use Accident-0.2</v>
      </c>
    </row>
    <row r="11" spans="1:7" x14ac:dyDescent="0.25">
      <c r="A11" s="143" t="s">
        <v>360</v>
      </c>
      <c r="B11" s="143" t="s">
        <v>364</v>
      </c>
      <c r="C11" s="143" t="s">
        <v>367</v>
      </c>
      <c r="D11" s="144" t="s">
        <v>339</v>
      </c>
      <c r="E11" s="145">
        <v>0.25</v>
      </c>
      <c r="F11" s="146">
        <v>8.5099999999999995E-2</v>
      </c>
      <c r="G11" t="str">
        <f t="shared" si="0"/>
        <v>BULLS-12M-Less 50-Loss of Use Accident-0.25</v>
      </c>
    </row>
    <row r="12" spans="1:7" x14ac:dyDescent="0.25">
      <c r="A12" s="143" t="s">
        <v>360</v>
      </c>
      <c r="B12" s="143" t="s">
        <v>364</v>
      </c>
      <c r="C12" s="143" t="s">
        <v>367</v>
      </c>
      <c r="D12" s="144" t="s">
        <v>51</v>
      </c>
      <c r="E12" s="145">
        <v>0</v>
      </c>
      <c r="F12" s="146">
        <v>5.4300000000000001E-2</v>
      </c>
      <c r="G12" t="str">
        <f t="shared" si="0"/>
        <v>BULLS-12M-Less 50-Mortality-0</v>
      </c>
    </row>
    <row r="13" spans="1:7" x14ac:dyDescent="0.25">
      <c r="A13" s="143" t="s">
        <v>360</v>
      </c>
      <c r="B13" s="143" t="s">
        <v>364</v>
      </c>
      <c r="C13" s="143" t="s">
        <v>367</v>
      </c>
      <c r="D13" s="144" t="s">
        <v>51</v>
      </c>
      <c r="E13" s="145">
        <v>0.1</v>
      </c>
      <c r="F13" s="146">
        <v>4.8899999999999999E-2</v>
      </c>
      <c r="G13" t="str">
        <f t="shared" si="0"/>
        <v>BULLS-12M-Less 50-Mortality-0.1</v>
      </c>
    </row>
    <row r="14" spans="1:7" x14ac:dyDescent="0.25">
      <c r="A14" s="143" t="s">
        <v>360</v>
      </c>
      <c r="B14" s="143" t="s">
        <v>364</v>
      </c>
      <c r="C14" s="143" t="s">
        <v>367</v>
      </c>
      <c r="D14" s="144" t="s">
        <v>51</v>
      </c>
      <c r="E14" s="145">
        <v>0.15</v>
      </c>
      <c r="F14" s="146">
        <v>4.6199999999999998E-2</v>
      </c>
      <c r="G14" t="str">
        <f t="shared" si="0"/>
        <v>BULLS-12M-Less 50-Mortality-0.15</v>
      </c>
    </row>
    <row r="15" spans="1:7" x14ac:dyDescent="0.25">
      <c r="A15" s="143" t="s">
        <v>360</v>
      </c>
      <c r="B15" s="143" t="s">
        <v>364</v>
      </c>
      <c r="C15" s="143" t="s">
        <v>367</v>
      </c>
      <c r="D15" s="144" t="s">
        <v>51</v>
      </c>
      <c r="E15" s="145">
        <v>0.2</v>
      </c>
      <c r="F15" s="146">
        <v>4.3400000000000001E-2</v>
      </c>
      <c r="G15" t="str">
        <f t="shared" si="0"/>
        <v>BULLS-12M-Less 50-Mortality-0.2</v>
      </c>
    </row>
    <row r="16" spans="1:7" x14ac:dyDescent="0.25">
      <c r="A16" s="143" t="s">
        <v>360</v>
      </c>
      <c r="B16" s="143" t="s">
        <v>364</v>
      </c>
      <c r="C16" s="143" t="s">
        <v>367</v>
      </c>
      <c r="D16" s="144" t="s">
        <v>51</v>
      </c>
      <c r="E16" s="145">
        <v>0.25</v>
      </c>
      <c r="F16" s="146">
        <v>4.07E-2</v>
      </c>
      <c r="G16" t="str">
        <f t="shared" si="0"/>
        <v>BULLS-12M-Less 50-Mortality-0.25</v>
      </c>
    </row>
    <row r="17" spans="1:7" x14ac:dyDescent="0.25">
      <c r="A17" s="143" t="s">
        <v>360</v>
      </c>
      <c r="B17" s="143" t="s">
        <v>364</v>
      </c>
      <c r="C17" s="143" t="s">
        <v>366</v>
      </c>
      <c r="D17" s="144" t="s">
        <v>378</v>
      </c>
      <c r="E17" s="145">
        <v>0</v>
      </c>
      <c r="F17" s="146">
        <v>0.13159999999999999</v>
      </c>
      <c r="G17" t="str">
        <f t="shared" si="0"/>
        <v>BULLS-12M-More 50-Loss of Use Accident &amp; Illness-0</v>
      </c>
    </row>
    <row r="18" spans="1:7" x14ac:dyDescent="0.25">
      <c r="A18" s="143" t="s">
        <v>360</v>
      </c>
      <c r="B18" s="143" t="s">
        <v>364</v>
      </c>
      <c r="C18" s="143" t="s">
        <v>366</v>
      </c>
      <c r="D18" s="144" t="s">
        <v>378</v>
      </c>
      <c r="E18" s="145">
        <v>0.1</v>
      </c>
      <c r="F18" s="146">
        <v>0.11849999999999999</v>
      </c>
      <c r="G18" t="str">
        <f t="shared" si="0"/>
        <v>BULLS-12M-More 50-Loss of Use Accident &amp; Illness-0.1</v>
      </c>
    </row>
    <row r="19" spans="1:7" x14ac:dyDescent="0.25">
      <c r="A19" s="143" t="s">
        <v>360</v>
      </c>
      <c r="B19" s="143" t="s">
        <v>364</v>
      </c>
      <c r="C19" s="143" t="s">
        <v>366</v>
      </c>
      <c r="D19" s="144" t="s">
        <v>378</v>
      </c>
      <c r="E19" s="145">
        <v>0.15</v>
      </c>
      <c r="F19" s="146">
        <v>0.1119</v>
      </c>
      <c r="G19" t="str">
        <f t="shared" si="0"/>
        <v>BULLS-12M-More 50-Loss of Use Accident &amp; Illness-0.15</v>
      </c>
    </row>
    <row r="20" spans="1:7" x14ac:dyDescent="0.25">
      <c r="A20" s="143" t="s">
        <v>360</v>
      </c>
      <c r="B20" s="143" t="s">
        <v>364</v>
      </c>
      <c r="C20" s="143" t="s">
        <v>366</v>
      </c>
      <c r="D20" s="144" t="s">
        <v>378</v>
      </c>
      <c r="E20" s="145">
        <v>0.2</v>
      </c>
      <c r="F20" s="146">
        <v>0.1053</v>
      </c>
      <c r="G20" t="str">
        <f t="shared" si="0"/>
        <v>BULLS-12M-More 50-Loss of Use Accident &amp; Illness-0.2</v>
      </c>
    </row>
    <row r="21" spans="1:7" x14ac:dyDescent="0.25">
      <c r="A21" s="143" t="s">
        <v>360</v>
      </c>
      <c r="B21" s="143" t="s">
        <v>364</v>
      </c>
      <c r="C21" s="143" t="s">
        <v>366</v>
      </c>
      <c r="D21" s="144" t="s">
        <v>378</v>
      </c>
      <c r="E21" s="145">
        <v>0.25</v>
      </c>
      <c r="F21" s="146">
        <v>9.8699999999999996E-2</v>
      </c>
      <c r="G21" t="str">
        <f t="shared" si="0"/>
        <v>BULLS-12M-More 50-Loss of Use Accident &amp; Illness-0.25</v>
      </c>
    </row>
    <row r="22" spans="1:7" x14ac:dyDescent="0.25">
      <c r="A22" s="143" t="s">
        <v>360</v>
      </c>
      <c r="B22" s="143" t="s">
        <v>364</v>
      </c>
      <c r="C22" s="143" t="s">
        <v>366</v>
      </c>
      <c r="D22" s="144" t="s">
        <v>339</v>
      </c>
      <c r="E22" s="145">
        <v>0</v>
      </c>
      <c r="F22" s="146">
        <v>0.12609999999999999</v>
      </c>
      <c r="G22" t="str">
        <f t="shared" si="0"/>
        <v>BULLS-12M-More 50-Loss of Use Accident-0</v>
      </c>
    </row>
    <row r="23" spans="1:7" x14ac:dyDescent="0.25">
      <c r="A23" s="143" t="s">
        <v>360</v>
      </c>
      <c r="B23" s="143" t="s">
        <v>364</v>
      </c>
      <c r="C23" s="143" t="s">
        <v>366</v>
      </c>
      <c r="D23" s="144" t="s">
        <v>339</v>
      </c>
      <c r="E23" s="145">
        <v>0.1</v>
      </c>
      <c r="F23" s="146">
        <v>0.1135</v>
      </c>
      <c r="G23" t="str">
        <f t="shared" si="0"/>
        <v>BULLS-12M-More 50-Loss of Use Accident-0.1</v>
      </c>
    </row>
    <row r="24" spans="1:7" x14ac:dyDescent="0.25">
      <c r="A24" s="143" t="s">
        <v>360</v>
      </c>
      <c r="B24" s="143" t="s">
        <v>364</v>
      </c>
      <c r="C24" s="143" t="s">
        <v>366</v>
      </c>
      <c r="D24" s="144" t="s">
        <v>339</v>
      </c>
      <c r="E24" s="145">
        <v>0.15</v>
      </c>
      <c r="F24" s="146">
        <v>0.1072</v>
      </c>
      <c r="G24" t="str">
        <f t="shared" si="0"/>
        <v>BULLS-12M-More 50-Loss of Use Accident-0.15</v>
      </c>
    </row>
    <row r="25" spans="1:7" x14ac:dyDescent="0.25">
      <c r="A25" s="143" t="s">
        <v>360</v>
      </c>
      <c r="B25" s="143" t="s">
        <v>364</v>
      </c>
      <c r="C25" s="143" t="s">
        <v>366</v>
      </c>
      <c r="D25" s="144" t="s">
        <v>339</v>
      </c>
      <c r="E25" s="145">
        <v>0.2</v>
      </c>
      <c r="F25" s="146">
        <v>0.1009</v>
      </c>
      <c r="G25" t="str">
        <f t="shared" si="0"/>
        <v>BULLS-12M-More 50-Loss of Use Accident-0.2</v>
      </c>
    </row>
    <row r="26" spans="1:7" x14ac:dyDescent="0.25">
      <c r="A26" s="143" t="s">
        <v>360</v>
      </c>
      <c r="B26" s="143" t="s">
        <v>364</v>
      </c>
      <c r="C26" s="143" t="s">
        <v>366</v>
      </c>
      <c r="D26" s="144" t="s">
        <v>339</v>
      </c>
      <c r="E26" s="145">
        <v>0.25</v>
      </c>
      <c r="F26" s="146">
        <v>9.4600000000000004E-2</v>
      </c>
      <c r="G26" t="str">
        <f t="shared" si="0"/>
        <v>BULLS-12M-More 50-Loss of Use Accident-0.25</v>
      </c>
    </row>
    <row r="27" spans="1:7" x14ac:dyDescent="0.25">
      <c r="A27" s="143" t="s">
        <v>360</v>
      </c>
      <c r="B27" s="143" t="s">
        <v>364</v>
      </c>
      <c r="C27" s="143" t="s">
        <v>366</v>
      </c>
      <c r="D27" s="144" t="s">
        <v>51</v>
      </c>
      <c r="E27" s="145">
        <v>0</v>
      </c>
      <c r="F27" s="146">
        <v>6.0299999999999999E-2</v>
      </c>
      <c r="G27" t="str">
        <f t="shared" si="0"/>
        <v>BULLS-12M-More 50-Mortality-0</v>
      </c>
    </row>
    <row r="28" spans="1:7" x14ac:dyDescent="0.25">
      <c r="A28" s="143" t="s">
        <v>360</v>
      </c>
      <c r="B28" s="143" t="s">
        <v>364</v>
      </c>
      <c r="C28" s="143" t="s">
        <v>366</v>
      </c>
      <c r="D28" s="144" t="s">
        <v>51</v>
      </c>
      <c r="E28" s="145">
        <v>0.1</v>
      </c>
      <c r="F28" s="146">
        <v>5.4300000000000001E-2</v>
      </c>
      <c r="G28" t="str">
        <f t="shared" si="0"/>
        <v>BULLS-12M-More 50-Mortality-0.1</v>
      </c>
    </row>
    <row r="29" spans="1:7" x14ac:dyDescent="0.25">
      <c r="A29" s="143" t="s">
        <v>360</v>
      </c>
      <c r="B29" s="143" t="s">
        <v>364</v>
      </c>
      <c r="C29" s="143" t="s">
        <v>366</v>
      </c>
      <c r="D29" s="144" t="s">
        <v>51</v>
      </c>
      <c r="E29" s="145">
        <v>0.15</v>
      </c>
      <c r="F29" s="146">
        <v>5.1299999999999998E-2</v>
      </c>
      <c r="G29" t="str">
        <f t="shared" si="0"/>
        <v>BULLS-12M-More 50-Mortality-0.15</v>
      </c>
    </row>
    <row r="30" spans="1:7" x14ac:dyDescent="0.25">
      <c r="A30" s="143" t="s">
        <v>360</v>
      </c>
      <c r="B30" s="143" t="s">
        <v>364</v>
      </c>
      <c r="C30" s="143" t="s">
        <v>366</v>
      </c>
      <c r="D30" s="144" t="s">
        <v>51</v>
      </c>
      <c r="E30" s="145">
        <v>0.2</v>
      </c>
      <c r="F30" s="146">
        <v>4.8300000000000003E-2</v>
      </c>
      <c r="G30" t="str">
        <f t="shared" si="0"/>
        <v>BULLS-12M-More 50-Mortality-0.2</v>
      </c>
    </row>
    <row r="31" spans="1:7" x14ac:dyDescent="0.25">
      <c r="A31" s="143" t="s">
        <v>360</v>
      </c>
      <c r="B31" s="143" t="s">
        <v>364</v>
      </c>
      <c r="C31" s="143" t="s">
        <v>366</v>
      </c>
      <c r="D31" s="144" t="s">
        <v>51</v>
      </c>
      <c r="E31" s="145">
        <v>0.25</v>
      </c>
      <c r="F31" s="146">
        <v>4.5199999999999997E-2</v>
      </c>
      <c r="G31" t="str">
        <f t="shared" si="0"/>
        <v>BULLS-12M-More 50-Mortality-0.25</v>
      </c>
    </row>
    <row r="32" spans="1:7" x14ac:dyDescent="0.25">
      <c r="A32" s="143" t="s">
        <v>360</v>
      </c>
      <c r="B32" s="143" t="s">
        <v>365</v>
      </c>
      <c r="C32" s="143" t="s">
        <v>367</v>
      </c>
      <c r="D32" s="144" t="s">
        <v>378</v>
      </c>
      <c r="E32" s="145">
        <v>0</v>
      </c>
      <c r="F32" s="146">
        <v>8.8800000000000004E-2</v>
      </c>
      <c r="G32" t="str">
        <f t="shared" si="0"/>
        <v>BULLS-6M-Less 50-Loss of Use Accident &amp; Illness-0</v>
      </c>
    </row>
    <row r="33" spans="1:7" x14ac:dyDescent="0.25">
      <c r="A33" s="143" t="s">
        <v>360</v>
      </c>
      <c r="B33" s="143" t="s">
        <v>365</v>
      </c>
      <c r="C33" s="143" t="s">
        <v>367</v>
      </c>
      <c r="D33" s="144" t="s">
        <v>378</v>
      </c>
      <c r="E33" s="145">
        <v>0.1</v>
      </c>
      <c r="F33" s="146">
        <v>0.08</v>
      </c>
      <c r="G33" t="str">
        <f t="shared" si="0"/>
        <v>BULLS-6M-Less 50-Loss of Use Accident &amp; Illness-0.1</v>
      </c>
    </row>
    <row r="34" spans="1:7" x14ac:dyDescent="0.25">
      <c r="A34" s="143" t="s">
        <v>360</v>
      </c>
      <c r="B34" s="143" t="s">
        <v>365</v>
      </c>
      <c r="C34" s="143" t="s">
        <v>367</v>
      </c>
      <c r="D34" s="144" t="s">
        <v>378</v>
      </c>
      <c r="E34" s="145">
        <v>0.15</v>
      </c>
      <c r="F34" s="146">
        <v>7.5499999999999998E-2</v>
      </c>
      <c r="G34" t="str">
        <f t="shared" ref="G34:G65" si="1">CONCATENATE(A34,"-",B34,"-",C34,"-",D34,"-",E34)</f>
        <v>BULLS-6M-Less 50-Loss of Use Accident &amp; Illness-0.15</v>
      </c>
    </row>
    <row r="35" spans="1:7" x14ac:dyDescent="0.25">
      <c r="A35" s="143" t="s">
        <v>360</v>
      </c>
      <c r="B35" s="143" t="s">
        <v>365</v>
      </c>
      <c r="C35" s="143" t="s">
        <v>367</v>
      </c>
      <c r="D35" s="144" t="s">
        <v>378</v>
      </c>
      <c r="E35" s="145">
        <v>0.2</v>
      </c>
      <c r="F35" s="146">
        <v>7.1099999999999997E-2</v>
      </c>
      <c r="G35" t="str">
        <f t="shared" si="1"/>
        <v>BULLS-6M-Less 50-Loss of Use Accident &amp; Illness-0.2</v>
      </c>
    </row>
    <row r="36" spans="1:7" x14ac:dyDescent="0.25">
      <c r="A36" s="143" t="s">
        <v>360</v>
      </c>
      <c r="B36" s="143" t="s">
        <v>365</v>
      </c>
      <c r="C36" s="143" t="s">
        <v>367</v>
      </c>
      <c r="D36" s="144" t="s">
        <v>378</v>
      </c>
      <c r="E36" s="145">
        <v>0.25</v>
      </c>
      <c r="F36" s="146">
        <v>6.6600000000000006E-2</v>
      </c>
      <c r="G36" t="str">
        <f t="shared" si="1"/>
        <v>BULLS-6M-Less 50-Loss of Use Accident &amp; Illness-0.25</v>
      </c>
    </row>
    <row r="37" spans="1:7" x14ac:dyDescent="0.25">
      <c r="A37" s="143" t="s">
        <v>360</v>
      </c>
      <c r="B37" s="143" t="s">
        <v>365</v>
      </c>
      <c r="C37" s="143" t="s">
        <v>367</v>
      </c>
      <c r="D37" s="144" t="s">
        <v>339</v>
      </c>
      <c r="E37" s="145">
        <v>0</v>
      </c>
      <c r="F37" s="146">
        <v>6.9099999999999995E-2</v>
      </c>
      <c r="G37" t="str">
        <f t="shared" si="1"/>
        <v>BULLS-6M-Less 50-Loss of Use Accident-0</v>
      </c>
    </row>
    <row r="38" spans="1:7" x14ac:dyDescent="0.25">
      <c r="A38" s="143" t="s">
        <v>360</v>
      </c>
      <c r="B38" s="143" t="s">
        <v>365</v>
      </c>
      <c r="C38" s="143" t="s">
        <v>367</v>
      </c>
      <c r="D38" s="144" t="s">
        <v>339</v>
      </c>
      <c r="E38" s="145">
        <v>0.1</v>
      </c>
      <c r="F38" s="146">
        <v>6.2199999999999998E-2</v>
      </c>
      <c r="G38" t="str">
        <f t="shared" si="1"/>
        <v>BULLS-6M-Less 50-Loss of Use Accident-0.1</v>
      </c>
    </row>
    <row r="39" spans="1:7" x14ac:dyDescent="0.25">
      <c r="A39" s="143" t="s">
        <v>360</v>
      </c>
      <c r="B39" s="143" t="s">
        <v>365</v>
      </c>
      <c r="C39" s="143" t="s">
        <v>367</v>
      </c>
      <c r="D39" s="144" t="s">
        <v>339</v>
      </c>
      <c r="E39" s="145">
        <v>0.15</v>
      </c>
      <c r="F39" s="146">
        <v>5.8700000000000002E-2</v>
      </c>
      <c r="G39" t="str">
        <f t="shared" si="1"/>
        <v>BULLS-6M-Less 50-Loss of Use Accident-0.15</v>
      </c>
    </row>
    <row r="40" spans="1:7" x14ac:dyDescent="0.25">
      <c r="A40" s="143" t="s">
        <v>360</v>
      </c>
      <c r="B40" s="143" t="s">
        <v>365</v>
      </c>
      <c r="C40" s="143" t="s">
        <v>367</v>
      </c>
      <c r="D40" s="144" t="s">
        <v>339</v>
      </c>
      <c r="E40" s="145">
        <v>0.2</v>
      </c>
      <c r="F40" s="146">
        <v>5.5300000000000002E-2</v>
      </c>
      <c r="G40" t="str">
        <f t="shared" si="1"/>
        <v>BULLS-6M-Less 50-Loss of Use Accident-0.2</v>
      </c>
    </row>
    <row r="41" spans="1:7" x14ac:dyDescent="0.25">
      <c r="A41" s="143" t="s">
        <v>360</v>
      </c>
      <c r="B41" s="143" t="s">
        <v>365</v>
      </c>
      <c r="C41" s="143" t="s">
        <v>367</v>
      </c>
      <c r="D41" s="144" t="s">
        <v>339</v>
      </c>
      <c r="E41" s="145">
        <v>0.25</v>
      </c>
      <c r="F41" s="146">
        <v>5.1799999999999999E-2</v>
      </c>
      <c r="G41" t="str">
        <f t="shared" si="1"/>
        <v>BULLS-6M-Less 50-Loss of Use Accident-0.25</v>
      </c>
    </row>
    <row r="42" spans="1:7" x14ac:dyDescent="0.25">
      <c r="A42" s="143" t="s">
        <v>360</v>
      </c>
      <c r="B42" s="143" t="s">
        <v>365</v>
      </c>
      <c r="C42" s="143" t="s">
        <v>367</v>
      </c>
      <c r="D42" s="144" t="s">
        <v>51</v>
      </c>
      <c r="E42" s="145">
        <v>0</v>
      </c>
      <c r="F42" s="146">
        <v>3.95E-2</v>
      </c>
      <c r="G42" t="str">
        <f t="shared" si="1"/>
        <v>BULLS-6M-Less 50-Mortality-0</v>
      </c>
    </row>
    <row r="43" spans="1:7" x14ac:dyDescent="0.25">
      <c r="A43" s="143" t="s">
        <v>360</v>
      </c>
      <c r="B43" s="143" t="s">
        <v>365</v>
      </c>
      <c r="C43" s="143" t="s">
        <v>367</v>
      </c>
      <c r="D43" s="144" t="s">
        <v>51</v>
      </c>
      <c r="E43" s="145">
        <v>0.1</v>
      </c>
      <c r="F43" s="146">
        <v>3.5499999999999997E-2</v>
      </c>
      <c r="G43" t="str">
        <f t="shared" si="1"/>
        <v>BULLS-6M-Less 50-Mortality-0.1</v>
      </c>
    </row>
    <row r="44" spans="1:7" x14ac:dyDescent="0.25">
      <c r="A44" s="143" t="s">
        <v>360</v>
      </c>
      <c r="B44" s="143" t="s">
        <v>365</v>
      </c>
      <c r="C44" s="143" t="s">
        <v>367</v>
      </c>
      <c r="D44" s="144" t="s">
        <v>51</v>
      </c>
      <c r="E44" s="145">
        <v>0.15</v>
      </c>
      <c r="F44" s="146">
        <v>3.3599999999999998E-2</v>
      </c>
      <c r="G44" t="str">
        <f t="shared" si="1"/>
        <v>BULLS-6M-Less 50-Mortality-0.15</v>
      </c>
    </row>
    <row r="45" spans="1:7" x14ac:dyDescent="0.25">
      <c r="A45" s="143" t="s">
        <v>360</v>
      </c>
      <c r="B45" s="143" t="s">
        <v>365</v>
      </c>
      <c r="C45" s="143" t="s">
        <v>367</v>
      </c>
      <c r="D45" s="144" t="s">
        <v>51</v>
      </c>
      <c r="E45" s="145">
        <v>0.2</v>
      </c>
      <c r="F45" s="146">
        <v>3.1600000000000003E-2</v>
      </c>
      <c r="G45" t="str">
        <f t="shared" si="1"/>
        <v>BULLS-6M-Less 50-Mortality-0.2</v>
      </c>
    </row>
    <row r="46" spans="1:7" x14ac:dyDescent="0.25">
      <c r="A46" s="143" t="s">
        <v>360</v>
      </c>
      <c r="B46" s="143" t="s">
        <v>365</v>
      </c>
      <c r="C46" s="143" t="s">
        <v>367</v>
      </c>
      <c r="D46" s="144" t="s">
        <v>51</v>
      </c>
      <c r="E46" s="145">
        <v>0.25</v>
      </c>
      <c r="F46" s="146">
        <v>2.9600000000000001E-2</v>
      </c>
      <c r="G46" t="str">
        <f t="shared" si="1"/>
        <v>BULLS-6M-Less 50-Mortality-0.25</v>
      </c>
    </row>
    <row r="47" spans="1:7" x14ac:dyDescent="0.25">
      <c r="A47" s="143" t="s">
        <v>360</v>
      </c>
      <c r="B47" s="143" t="s">
        <v>365</v>
      </c>
      <c r="C47" s="143" t="s">
        <v>366</v>
      </c>
      <c r="D47" s="144" t="s">
        <v>378</v>
      </c>
      <c r="E47" s="145">
        <v>0</v>
      </c>
      <c r="F47" s="146">
        <v>9.8699999999999996E-2</v>
      </c>
      <c r="G47" t="str">
        <f t="shared" si="1"/>
        <v>BULLS-6M-More 50-Loss of Use Accident &amp; Illness-0</v>
      </c>
    </row>
    <row r="48" spans="1:7" x14ac:dyDescent="0.25">
      <c r="A48" s="143" t="s">
        <v>360</v>
      </c>
      <c r="B48" s="143" t="s">
        <v>365</v>
      </c>
      <c r="C48" s="143" t="s">
        <v>366</v>
      </c>
      <c r="D48" s="144" t="s">
        <v>378</v>
      </c>
      <c r="E48" s="145">
        <v>0.1</v>
      </c>
      <c r="F48" s="146">
        <v>8.8800000000000004E-2</v>
      </c>
      <c r="G48" t="str">
        <f t="shared" si="1"/>
        <v>BULLS-6M-More 50-Loss of Use Accident &amp; Illness-0.1</v>
      </c>
    </row>
    <row r="49" spans="1:7" x14ac:dyDescent="0.25">
      <c r="A49" s="143" t="s">
        <v>360</v>
      </c>
      <c r="B49" s="143" t="s">
        <v>365</v>
      </c>
      <c r="C49" s="143" t="s">
        <v>366</v>
      </c>
      <c r="D49" s="144" t="s">
        <v>378</v>
      </c>
      <c r="E49" s="145">
        <v>0.15</v>
      </c>
      <c r="F49" s="146">
        <v>8.3900000000000002E-2</v>
      </c>
      <c r="G49" t="str">
        <f t="shared" si="1"/>
        <v>BULLS-6M-More 50-Loss of Use Accident &amp; Illness-0.15</v>
      </c>
    </row>
    <row r="50" spans="1:7" x14ac:dyDescent="0.25">
      <c r="A50" s="143" t="s">
        <v>360</v>
      </c>
      <c r="B50" s="143" t="s">
        <v>365</v>
      </c>
      <c r="C50" s="143" t="s">
        <v>366</v>
      </c>
      <c r="D50" s="144" t="s">
        <v>378</v>
      </c>
      <c r="E50" s="145">
        <v>0.2</v>
      </c>
      <c r="F50" s="146">
        <v>7.9000000000000001E-2</v>
      </c>
      <c r="G50" t="str">
        <f t="shared" si="1"/>
        <v>BULLS-6M-More 50-Loss of Use Accident &amp; Illness-0.2</v>
      </c>
    </row>
    <row r="51" spans="1:7" x14ac:dyDescent="0.25">
      <c r="A51" s="143" t="s">
        <v>360</v>
      </c>
      <c r="B51" s="143" t="s">
        <v>365</v>
      </c>
      <c r="C51" s="143" t="s">
        <v>366</v>
      </c>
      <c r="D51" s="144" t="s">
        <v>378</v>
      </c>
      <c r="E51" s="145">
        <v>0.25</v>
      </c>
      <c r="F51" s="146">
        <v>7.3999999999999996E-2</v>
      </c>
      <c r="G51" t="str">
        <f t="shared" si="1"/>
        <v>BULLS-6M-More 50-Loss of Use Accident &amp; Illness-0.25</v>
      </c>
    </row>
    <row r="52" spans="1:7" x14ac:dyDescent="0.25">
      <c r="A52" s="143" t="s">
        <v>360</v>
      </c>
      <c r="B52" s="143" t="s">
        <v>365</v>
      </c>
      <c r="C52" s="143" t="s">
        <v>366</v>
      </c>
      <c r="D52" s="144" t="s">
        <v>339</v>
      </c>
      <c r="E52" s="145">
        <v>0</v>
      </c>
      <c r="F52" s="146">
        <v>7.6799999999999993E-2</v>
      </c>
      <c r="G52" t="str">
        <f t="shared" si="1"/>
        <v>BULLS-6M-More 50-Loss of Use Accident-0</v>
      </c>
    </row>
    <row r="53" spans="1:7" x14ac:dyDescent="0.25">
      <c r="A53" s="143" t="s">
        <v>360</v>
      </c>
      <c r="B53" s="143" t="s">
        <v>365</v>
      </c>
      <c r="C53" s="143" t="s">
        <v>366</v>
      </c>
      <c r="D53" s="144" t="s">
        <v>339</v>
      </c>
      <c r="E53" s="145">
        <v>0.1</v>
      </c>
      <c r="F53" s="146">
        <v>6.9099999999999995E-2</v>
      </c>
      <c r="G53" t="str">
        <f t="shared" si="1"/>
        <v>BULLS-6M-More 50-Loss of Use Accident-0.1</v>
      </c>
    </row>
    <row r="54" spans="1:7" x14ac:dyDescent="0.25">
      <c r="A54" s="143" t="s">
        <v>360</v>
      </c>
      <c r="B54" s="143" t="s">
        <v>365</v>
      </c>
      <c r="C54" s="143" t="s">
        <v>366</v>
      </c>
      <c r="D54" s="144" t="s">
        <v>339</v>
      </c>
      <c r="E54" s="145">
        <v>0.15</v>
      </c>
      <c r="F54" s="146">
        <v>6.5299999999999997E-2</v>
      </c>
      <c r="G54" t="str">
        <f t="shared" si="1"/>
        <v>BULLS-6M-More 50-Loss of Use Accident-0.15</v>
      </c>
    </row>
    <row r="55" spans="1:7" x14ac:dyDescent="0.25">
      <c r="A55" s="143" t="s">
        <v>360</v>
      </c>
      <c r="B55" s="143" t="s">
        <v>365</v>
      </c>
      <c r="C55" s="143" t="s">
        <v>366</v>
      </c>
      <c r="D55" s="144" t="s">
        <v>339</v>
      </c>
      <c r="E55" s="145">
        <v>0.2</v>
      </c>
      <c r="F55" s="146">
        <v>6.1400000000000003E-2</v>
      </c>
      <c r="G55" t="str">
        <f t="shared" si="1"/>
        <v>BULLS-6M-More 50-Loss of Use Accident-0.2</v>
      </c>
    </row>
    <row r="56" spans="1:7" x14ac:dyDescent="0.25">
      <c r="A56" s="143" t="s">
        <v>360</v>
      </c>
      <c r="B56" s="143" t="s">
        <v>365</v>
      </c>
      <c r="C56" s="143" t="s">
        <v>366</v>
      </c>
      <c r="D56" s="144" t="s">
        <v>339</v>
      </c>
      <c r="E56" s="145">
        <v>0.25</v>
      </c>
      <c r="F56" s="146">
        <v>5.7599999999999998E-2</v>
      </c>
      <c r="G56" t="str">
        <f t="shared" si="1"/>
        <v>BULLS-6M-More 50-Loss of Use Accident-0.25</v>
      </c>
    </row>
    <row r="57" spans="1:7" x14ac:dyDescent="0.25">
      <c r="A57" s="143" t="s">
        <v>360</v>
      </c>
      <c r="B57" s="143" t="s">
        <v>365</v>
      </c>
      <c r="C57" s="143" t="s">
        <v>366</v>
      </c>
      <c r="D57" s="144" t="s">
        <v>51</v>
      </c>
      <c r="E57" s="145">
        <v>0</v>
      </c>
      <c r="F57" s="146">
        <v>4.3900000000000002E-2</v>
      </c>
      <c r="G57" t="str">
        <f t="shared" si="1"/>
        <v>BULLS-6M-More 50-Mortality-0</v>
      </c>
    </row>
    <row r="58" spans="1:7" x14ac:dyDescent="0.25">
      <c r="A58" s="143" t="s">
        <v>360</v>
      </c>
      <c r="B58" s="143" t="s">
        <v>365</v>
      </c>
      <c r="C58" s="143" t="s">
        <v>366</v>
      </c>
      <c r="D58" s="144" t="s">
        <v>51</v>
      </c>
      <c r="E58" s="145">
        <v>0.1</v>
      </c>
      <c r="F58" s="146">
        <v>3.95E-2</v>
      </c>
      <c r="G58" t="str">
        <f t="shared" si="1"/>
        <v>BULLS-6M-More 50-Mortality-0.1</v>
      </c>
    </row>
    <row r="59" spans="1:7" x14ac:dyDescent="0.25">
      <c r="A59" s="143" t="s">
        <v>360</v>
      </c>
      <c r="B59" s="143" t="s">
        <v>365</v>
      </c>
      <c r="C59" s="143" t="s">
        <v>366</v>
      </c>
      <c r="D59" s="144" t="s">
        <v>51</v>
      </c>
      <c r="E59" s="145">
        <v>0.15</v>
      </c>
      <c r="F59" s="146">
        <v>3.73E-2</v>
      </c>
      <c r="G59" t="str">
        <f t="shared" si="1"/>
        <v>BULLS-6M-More 50-Mortality-0.15</v>
      </c>
    </row>
    <row r="60" spans="1:7" x14ac:dyDescent="0.25">
      <c r="A60" s="143" t="s">
        <v>360</v>
      </c>
      <c r="B60" s="143" t="s">
        <v>365</v>
      </c>
      <c r="C60" s="143" t="s">
        <v>366</v>
      </c>
      <c r="D60" s="144" t="s">
        <v>51</v>
      </c>
      <c r="E60" s="145">
        <v>0.2</v>
      </c>
      <c r="F60" s="146">
        <v>3.5099999999999999E-2</v>
      </c>
      <c r="G60" t="str">
        <f t="shared" si="1"/>
        <v>BULLS-6M-More 50-Mortality-0.2</v>
      </c>
    </row>
    <row r="61" spans="1:7" x14ac:dyDescent="0.25">
      <c r="A61" s="143" t="s">
        <v>360</v>
      </c>
      <c r="B61" s="143" t="s">
        <v>365</v>
      </c>
      <c r="C61" s="143" t="s">
        <v>366</v>
      </c>
      <c r="D61" s="144" t="s">
        <v>51</v>
      </c>
      <c r="E61" s="145">
        <v>0.25</v>
      </c>
      <c r="F61" s="146">
        <v>3.2899999999999999E-2</v>
      </c>
      <c r="G61" t="str">
        <f t="shared" si="1"/>
        <v>BULLS-6M-More 50-Mortality-0.25</v>
      </c>
    </row>
    <row r="62" spans="1:7" x14ac:dyDescent="0.25">
      <c r="A62" s="143" t="s">
        <v>363</v>
      </c>
      <c r="B62" s="143" t="s">
        <v>364</v>
      </c>
      <c r="C62" s="143" t="s">
        <v>367</v>
      </c>
      <c r="D62" s="144" t="s">
        <v>386</v>
      </c>
      <c r="E62" s="145">
        <v>0</v>
      </c>
      <c r="F62" s="146">
        <v>7.9000000000000001E-2</v>
      </c>
      <c r="G62" t="str">
        <f t="shared" si="1"/>
        <v>COWS-12M-Less 50-Mortality - Cows inc Parturition-0</v>
      </c>
    </row>
    <row r="63" spans="1:7" x14ac:dyDescent="0.25">
      <c r="A63" s="143" t="s">
        <v>363</v>
      </c>
      <c r="B63" s="143" t="s">
        <v>364</v>
      </c>
      <c r="C63" s="143" t="s">
        <v>367</v>
      </c>
      <c r="D63" s="144" t="s">
        <v>386</v>
      </c>
      <c r="E63" s="145">
        <v>0.1</v>
      </c>
      <c r="F63" s="146">
        <v>7.1099999999999997E-2</v>
      </c>
      <c r="G63" t="str">
        <f t="shared" si="1"/>
        <v>COWS-12M-Less 50-Mortality - Cows inc Parturition-0.1</v>
      </c>
    </row>
    <row r="64" spans="1:7" x14ac:dyDescent="0.25">
      <c r="A64" s="143" t="s">
        <v>363</v>
      </c>
      <c r="B64" s="143" t="s">
        <v>364</v>
      </c>
      <c r="C64" s="143" t="s">
        <v>367</v>
      </c>
      <c r="D64" s="144" t="s">
        <v>386</v>
      </c>
      <c r="E64" s="145">
        <v>0.15</v>
      </c>
      <c r="F64" s="146">
        <v>6.7100000000000007E-2</v>
      </c>
      <c r="G64" t="str">
        <f t="shared" si="1"/>
        <v>COWS-12M-Less 50-Mortality - Cows inc Parturition-0.15</v>
      </c>
    </row>
    <row r="65" spans="1:7" x14ac:dyDescent="0.25">
      <c r="A65" s="143" t="s">
        <v>363</v>
      </c>
      <c r="B65" s="143" t="s">
        <v>364</v>
      </c>
      <c r="C65" s="143" t="s">
        <v>367</v>
      </c>
      <c r="D65" s="144" t="s">
        <v>386</v>
      </c>
      <c r="E65" s="145">
        <v>0.2</v>
      </c>
      <c r="F65" s="146">
        <v>6.3200000000000006E-2</v>
      </c>
      <c r="G65" t="str">
        <f t="shared" si="1"/>
        <v>COWS-12M-Less 50-Mortality - Cows inc Parturition-0.2</v>
      </c>
    </row>
    <row r="66" spans="1:7" x14ac:dyDescent="0.25">
      <c r="A66" s="143" t="s">
        <v>363</v>
      </c>
      <c r="B66" s="143" t="s">
        <v>364</v>
      </c>
      <c r="C66" s="143" t="s">
        <v>367</v>
      </c>
      <c r="D66" s="144" t="s">
        <v>386</v>
      </c>
      <c r="E66" s="145">
        <v>0.25</v>
      </c>
      <c r="F66" s="146">
        <v>5.9200000000000003E-2</v>
      </c>
      <c r="G66" t="str">
        <f t="shared" ref="G66:G97" si="2">CONCATENATE(A66,"-",B66,"-",C66,"-",D66,"-",E66)</f>
        <v>COWS-12M-Less 50-Mortality - Cows inc Parturition-0.25</v>
      </c>
    </row>
    <row r="67" spans="1:7" x14ac:dyDescent="0.25">
      <c r="A67" s="143" t="s">
        <v>363</v>
      </c>
      <c r="B67" s="143" t="s">
        <v>364</v>
      </c>
      <c r="C67" s="143" t="s">
        <v>367</v>
      </c>
      <c r="D67" s="144" t="s">
        <v>51</v>
      </c>
      <c r="E67" s="145">
        <v>0</v>
      </c>
      <c r="F67" s="147">
        <v>7.9000000000000001E-2</v>
      </c>
      <c r="G67" t="str">
        <f t="shared" si="2"/>
        <v>COWS-12M-Less 50-Mortality-0</v>
      </c>
    </row>
    <row r="68" spans="1:7" x14ac:dyDescent="0.25">
      <c r="A68" s="143" t="s">
        <v>363</v>
      </c>
      <c r="B68" s="143" t="s">
        <v>364</v>
      </c>
      <c r="C68" s="143" t="s">
        <v>367</v>
      </c>
      <c r="D68" s="144" t="s">
        <v>51</v>
      </c>
      <c r="E68" s="145">
        <v>0.1</v>
      </c>
      <c r="F68" s="147">
        <v>7.1099999999999997E-2</v>
      </c>
      <c r="G68" t="str">
        <f t="shared" si="2"/>
        <v>COWS-12M-Less 50-Mortality-0.1</v>
      </c>
    </row>
    <row r="69" spans="1:7" x14ac:dyDescent="0.25">
      <c r="A69" s="143" t="s">
        <v>363</v>
      </c>
      <c r="B69" s="143" t="s">
        <v>364</v>
      </c>
      <c r="C69" s="143" t="s">
        <v>367</v>
      </c>
      <c r="D69" s="144" t="s">
        <v>51</v>
      </c>
      <c r="E69" s="145">
        <v>0.15</v>
      </c>
      <c r="F69" s="147">
        <v>6.7100000000000007E-2</v>
      </c>
      <c r="G69" t="str">
        <f t="shared" si="2"/>
        <v>COWS-12M-Less 50-Mortality-0.15</v>
      </c>
    </row>
    <row r="70" spans="1:7" x14ac:dyDescent="0.25">
      <c r="A70" s="143" t="s">
        <v>363</v>
      </c>
      <c r="B70" s="143" t="s">
        <v>364</v>
      </c>
      <c r="C70" s="143" t="s">
        <v>367</v>
      </c>
      <c r="D70" s="144" t="s">
        <v>51</v>
      </c>
      <c r="E70" s="145">
        <v>0.2</v>
      </c>
      <c r="F70" s="147">
        <v>6.3200000000000006E-2</v>
      </c>
      <c r="G70" t="str">
        <f t="shared" si="2"/>
        <v>COWS-12M-Less 50-Mortality-0.2</v>
      </c>
    </row>
    <row r="71" spans="1:7" x14ac:dyDescent="0.25">
      <c r="A71" s="143" t="s">
        <v>363</v>
      </c>
      <c r="B71" s="143" t="s">
        <v>364</v>
      </c>
      <c r="C71" s="143" t="s">
        <v>367</v>
      </c>
      <c r="D71" s="144" t="s">
        <v>51</v>
      </c>
      <c r="E71" s="145">
        <v>0.25</v>
      </c>
      <c r="F71" s="147">
        <v>5.9200000000000003E-2</v>
      </c>
      <c r="G71" t="str">
        <f t="shared" si="2"/>
        <v>COWS-12M-Less 50-Mortality-0.25</v>
      </c>
    </row>
    <row r="72" spans="1:7" x14ac:dyDescent="0.25">
      <c r="A72" s="143" t="s">
        <v>363</v>
      </c>
      <c r="B72" s="143" t="s">
        <v>364</v>
      </c>
      <c r="C72" s="143" t="s">
        <v>366</v>
      </c>
      <c r="D72" s="144" t="s">
        <v>386</v>
      </c>
      <c r="E72" s="145">
        <v>0</v>
      </c>
      <c r="F72" s="146">
        <v>8.7800000000000003E-2</v>
      </c>
      <c r="G72" t="str">
        <f t="shared" si="2"/>
        <v>COWS-12M-More 50-Mortality - Cows inc Parturition-0</v>
      </c>
    </row>
    <row r="73" spans="1:7" x14ac:dyDescent="0.25">
      <c r="A73" s="143" t="s">
        <v>363</v>
      </c>
      <c r="B73" s="143" t="s">
        <v>364</v>
      </c>
      <c r="C73" s="143" t="s">
        <v>366</v>
      </c>
      <c r="D73" s="144" t="s">
        <v>386</v>
      </c>
      <c r="E73" s="145">
        <v>0.1</v>
      </c>
      <c r="F73" s="146">
        <v>7.9000000000000001E-2</v>
      </c>
      <c r="G73" t="str">
        <f t="shared" si="2"/>
        <v>COWS-12M-More 50-Mortality - Cows inc Parturition-0.1</v>
      </c>
    </row>
    <row r="74" spans="1:7" x14ac:dyDescent="0.25">
      <c r="A74" s="143" t="s">
        <v>363</v>
      </c>
      <c r="B74" s="143" t="s">
        <v>364</v>
      </c>
      <c r="C74" s="143" t="s">
        <v>366</v>
      </c>
      <c r="D74" s="144" t="s">
        <v>386</v>
      </c>
      <c r="E74" s="145">
        <v>0.15</v>
      </c>
      <c r="F74" s="146">
        <v>7.46E-2</v>
      </c>
      <c r="G74" t="str">
        <f t="shared" si="2"/>
        <v>COWS-12M-More 50-Mortality - Cows inc Parturition-0.15</v>
      </c>
    </row>
    <row r="75" spans="1:7" x14ac:dyDescent="0.25">
      <c r="A75" s="143" t="s">
        <v>363</v>
      </c>
      <c r="B75" s="143" t="s">
        <v>364</v>
      </c>
      <c r="C75" s="143" t="s">
        <v>366</v>
      </c>
      <c r="D75" s="144" t="s">
        <v>386</v>
      </c>
      <c r="E75" s="145">
        <v>0.2</v>
      </c>
      <c r="F75" s="146">
        <v>7.0199999999999999E-2</v>
      </c>
      <c r="G75" t="str">
        <f t="shared" si="2"/>
        <v>COWS-12M-More 50-Mortality - Cows inc Parturition-0.2</v>
      </c>
    </row>
    <row r="76" spans="1:7" x14ac:dyDescent="0.25">
      <c r="A76" s="143" t="s">
        <v>363</v>
      </c>
      <c r="B76" s="143" t="s">
        <v>364</v>
      </c>
      <c r="C76" s="143" t="s">
        <v>366</v>
      </c>
      <c r="D76" s="144" t="s">
        <v>386</v>
      </c>
      <c r="E76" s="145">
        <v>0.25</v>
      </c>
      <c r="F76" s="146">
        <v>6.5799999999999997E-2</v>
      </c>
      <c r="G76" t="str">
        <f t="shared" si="2"/>
        <v>COWS-12M-More 50-Mortality - Cows inc Parturition-0.25</v>
      </c>
    </row>
    <row r="77" spans="1:7" x14ac:dyDescent="0.25">
      <c r="A77" s="143" t="s">
        <v>363</v>
      </c>
      <c r="B77" s="143" t="s">
        <v>364</v>
      </c>
      <c r="C77" s="143" t="s">
        <v>366</v>
      </c>
      <c r="D77" s="144" t="s">
        <v>51</v>
      </c>
      <c r="E77" s="145">
        <v>0</v>
      </c>
      <c r="F77" s="147">
        <v>8.7800000000000003E-2</v>
      </c>
      <c r="G77" t="str">
        <f t="shared" si="2"/>
        <v>COWS-12M-More 50-Mortality-0</v>
      </c>
    </row>
    <row r="78" spans="1:7" x14ac:dyDescent="0.25">
      <c r="A78" s="143" t="s">
        <v>363</v>
      </c>
      <c r="B78" s="143" t="s">
        <v>364</v>
      </c>
      <c r="C78" s="143" t="s">
        <v>366</v>
      </c>
      <c r="D78" s="144" t="s">
        <v>51</v>
      </c>
      <c r="E78" s="145">
        <v>0.1</v>
      </c>
      <c r="F78" s="147">
        <v>7.9000000000000001E-2</v>
      </c>
      <c r="G78" t="str">
        <f t="shared" si="2"/>
        <v>COWS-12M-More 50-Mortality-0.1</v>
      </c>
    </row>
    <row r="79" spans="1:7" x14ac:dyDescent="0.25">
      <c r="A79" s="143" t="s">
        <v>363</v>
      </c>
      <c r="B79" s="143" t="s">
        <v>364</v>
      </c>
      <c r="C79" s="143" t="s">
        <v>366</v>
      </c>
      <c r="D79" s="144" t="s">
        <v>51</v>
      </c>
      <c r="E79" s="145">
        <v>0.15</v>
      </c>
      <c r="F79" s="147">
        <v>7.46E-2</v>
      </c>
      <c r="G79" t="str">
        <f t="shared" si="2"/>
        <v>COWS-12M-More 50-Mortality-0.15</v>
      </c>
    </row>
    <row r="80" spans="1:7" x14ac:dyDescent="0.25">
      <c r="A80" s="143" t="s">
        <v>363</v>
      </c>
      <c r="B80" s="143" t="s">
        <v>364</v>
      </c>
      <c r="C80" s="143" t="s">
        <v>366</v>
      </c>
      <c r="D80" s="144" t="s">
        <v>51</v>
      </c>
      <c r="E80" s="145">
        <v>0.2</v>
      </c>
      <c r="F80" s="147">
        <v>7.0199999999999999E-2</v>
      </c>
      <c r="G80" t="str">
        <f t="shared" si="2"/>
        <v>COWS-12M-More 50-Mortality-0.2</v>
      </c>
    </row>
    <row r="81" spans="1:7" x14ac:dyDescent="0.25">
      <c r="A81" s="143" t="s">
        <v>363</v>
      </c>
      <c r="B81" s="143" t="s">
        <v>364</v>
      </c>
      <c r="C81" s="143" t="s">
        <v>366</v>
      </c>
      <c r="D81" s="144" t="s">
        <v>51</v>
      </c>
      <c r="E81" s="145">
        <v>0.25</v>
      </c>
      <c r="F81" s="147">
        <v>6.5799999999999997E-2</v>
      </c>
      <c r="G81" t="str">
        <f t="shared" si="2"/>
        <v>COWS-12M-More 50-Mortality-0.25</v>
      </c>
    </row>
    <row r="82" spans="1:7" x14ac:dyDescent="0.25">
      <c r="A82" s="143" t="s">
        <v>363</v>
      </c>
      <c r="B82" s="143" t="s">
        <v>365</v>
      </c>
      <c r="C82" s="143" t="s">
        <v>367</v>
      </c>
      <c r="D82" s="144" t="s">
        <v>386</v>
      </c>
      <c r="E82" s="145">
        <v>0</v>
      </c>
      <c r="F82" s="146">
        <v>4.9399999999999999E-2</v>
      </c>
      <c r="G82" t="str">
        <f t="shared" si="2"/>
        <v>COWS-6M-Less 50-Mortality - Cows inc Parturition-0</v>
      </c>
    </row>
    <row r="83" spans="1:7" x14ac:dyDescent="0.25">
      <c r="A83" s="143" t="s">
        <v>363</v>
      </c>
      <c r="B83" s="143" t="s">
        <v>365</v>
      </c>
      <c r="C83" s="143" t="s">
        <v>367</v>
      </c>
      <c r="D83" s="144" t="s">
        <v>386</v>
      </c>
      <c r="E83" s="145">
        <v>0.1</v>
      </c>
      <c r="F83" s="146">
        <v>4.4400000000000002E-2</v>
      </c>
      <c r="G83" t="str">
        <f t="shared" si="2"/>
        <v>COWS-6M-Less 50-Mortality - Cows inc Parturition-0.1</v>
      </c>
    </row>
    <row r="84" spans="1:7" x14ac:dyDescent="0.25">
      <c r="A84" s="143" t="s">
        <v>363</v>
      </c>
      <c r="B84" s="143" t="s">
        <v>365</v>
      </c>
      <c r="C84" s="143" t="s">
        <v>367</v>
      </c>
      <c r="D84" s="144" t="s">
        <v>386</v>
      </c>
      <c r="E84" s="145">
        <v>0.15</v>
      </c>
      <c r="F84" s="146">
        <v>4.2000000000000003E-2</v>
      </c>
      <c r="G84" t="str">
        <f t="shared" si="2"/>
        <v>COWS-6M-Less 50-Mortality - Cows inc Parturition-0.15</v>
      </c>
    </row>
    <row r="85" spans="1:7" x14ac:dyDescent="0.25">
      <c r="A85" s="143" t="s">
        <v>363</v>
      </c>
      <c r="B85" s="143" t="s">
        <v>365</v>
      </c>
      <c r="C85" s="143" t="s">
        <v>367</v>
      </c>
      <c r="D85" s="144" t="s">
        <v>386</v>
      </c>
      <c r="E85" s="145">
        <v>0.2</v>
      </c>
      <c r="F85" s="146">
        <v>3.95E-2</v>
      </c>
      <c r="G85" t="str">
        <f t="shared" si="2"/>
        <v>COWS-6M-Less 50-Mortality - Cows inc Parturition-0.2</v>
      </c>
    </row>
    <row r="86" spans="1:7" x14ac:dyDescent="0.25">
      <c r="A86" s="143" t="s">
        <v>363</v>
      </c>
      <c r="B86" s="143" t="s">
        <v>365</v>
      </c>
      <c r="C86" s="143" t="s">
        <v>367</v>
      </c>
      <c r="D86" s="144" t="s">
        <v>386</v>
      </c>
      <c r="E86" s="145">
        <v>0.25</v>
      </c>
      <c r="F86" s="146">
        <v>3.6999999999999998E-2</v>
      </c>
      <c r="G86" t="str">
        <f t="shared" si="2"/>
        <v>COWS-6M-Less 50-Mortality - Cows inc Parturition-0.25</v>
      </c>
    </row>
    <row r="87" spans="1:7" x14ac:dyDescent="0.25">
      <c r="A87" s="143" t="s">
        <v>363</v>
      </c>
      <c r="B87" s="143" t="s">
        <v>365</v>
      </c>
      <c r="C87" s="143" t="s">
        <v>367</v>
      </c>
      <c r="D87" s="144" t="s">
        <v>51</v>
      </c>
      <c r="E87" s="145">
        <v>0</v>
      </c>
      <c r="F87" s="147">
        <v>4.9399999999999999E-2</v>
      </c>
      <c r="G87" t="str">
        <f t="shared" si="2"/>
        <v>COWS-6M-Less 50-Mortality-0</v>
      </c>
    </row>
    <row r="88" spans="1:7" x14ac:dyDescent="0.25">
      <c r="A88" s="143" t="s">
        <v>363</v>
      </c>
      <c r="B88" s="143" t="s">
        <v>365</v>
      </c>
      <c r="C88" s="143" t="s">
        <v>367</v>
      </c>
      <c r="D88" s="144" t="s">
        <v>51</v>
      </c>
      <c r="E88" s="145">
        <v>0.1</v>
      </c>
      <c r="F88" s="147">
        <v>4.4400000000000002E-2</v>
      </c>
      <c r="G88" t="str">
        <f t="shared" si="2"/>
        <v>COWS-6M-Less 50-Mortality-0.1</v>
      </c>
    </row>
    <row r="89" spans="1:7" x14ac:dyDescent="0.25">
      <c r="A89" s="143" t="s">
        <v>363</v>
      </c>
      <c r="B89" s="143" t="s">
        <v>365</v>
      </c>
      <c r="C89" s="143" t="s">
        <v>367</v>
      </c>
      <c r="D89" s="144" t="s">
        <v>51</v>
      </c>
      <c r="E89" s="145">
        <v>0.15</v>
      </c>
      <c r="F89" s="147">
        <v>4.2000000000000003E-2</v>
      </c>
      <c r="G89" t="str">
        <f t="shared" si="2"/>
        <v>COWS-6M-Less 50-Mortality-0.15</v>
      </c>
    </row>
    <row r="90" spans="1:7" x14ac:dyDescent="0.25">
      <c r="A90" s="143" t="s">
        <v>363</v>
      </c>
      <c r="B90" s="143" t="s">
        <v>365</v>
      </c>
      <c r="C90" s="143" t="s">
        <v>367</v>
      </c>
      <c r="D90" s="144" t="s">
        <v>51</v>
      </c>
      <c r="E90" s="145">
        <v>0.2</v>
      </c>
      <c r="F90" s="147">
        <v>3.95E-2</v>
      </c>
      <c r="G90" t="str">
        <f t="shared" si="2"/>
        <v>COWS-6M-Less 50-Mortality-0.2</v>
      </c>
    </row>
    <row r="91" spans="1:7" x14ac:dyDescent="0.25">
      <c r="A91" s="143" t="s">
        <v>363</v>
      </c>
      <c r="B91" s="143" t="s">
        <v>365</v>
      </c>
      <c r="C91" s="143" t="s">
        <v>367</v>
      </c>
      <c r="D91" s="144" t="s">
        <v>51</v>
      </c>
      <c r="E91" s="145">
        <v>0.25</v>
      </c>
      <c r="F91" s="147">
        <v>3.6999999999999998E-2</v>
      </c>
      <c r="G91" t="str">
        <f t="shared" si="2"/>
        <v>COWS-6M-Less 50-Mortality-0.25</v>
      </c>
    </row>
    <row r="92" spans="1:7" x14ac:dyDescent="0.25">
      <c r="A92" s="143" t="s">
        <v>363</v>
      </c>
      <c r="B92" s="143" t="s">
        <v>365</v>
      </c>
      <c r="C92" s="143" t="s">
        <v>366</v>
      </c>
      <c r="D92" s="144" t="s">
        <v>386</v>
      </c>
      <c r="E92" s="145">
        <v>0</v>
      </c>
      <c r="F92" s="146">
        <v>5.4800000000000001E-2</v>
      </c>
      <c r="G92" t="str">
        <f t="shared" si="2"/>
        <v>COWS-6M-More 50-Mortality - Cows inc Parturition-0</v>
      </c>
    </row>
    <row r="93" spans="1:7" x14ac:dyDescent="0.25">
      <c r="A93" s="143" t="s">
        <v>363</v>
      </c>
      <c r="B93" s="143" t="s">
        <v>365</v>
      </c>
      <c r="C93" s="143" t="s">
        <v>366</v>
      </c>
      <c r="D93" s="144" t="s">
        <v>386</v>
      </c>
      <c r="E93" s="145">
        <v>0.1</v>
      </c>
      <c r="F93" s="146">
        <v>4.9399999999999999E-2</v>
      </c>
      <c r="G93" t="str">
        <f t="shared" si="2"/>
        <v>COWS-6M-More 50-Mortality - Cows inc Parturition-0.1</v>
      </c>
    </row>
    <row r="94" spans="1:7" x14ac:dyDescent="0.25">
      <c r="A94" s="143" t="s">
        <v>363</v>
      </c>
      <c r="B94" s="143" t="s">
        <v>365</v>
      </c>
      <c r="C94" s="143" t="s">
        <v>366</v>
      </c>
      <c r="D94" s="144" t="s">
        <v>386</v>
      </c>
      <c r="E94" s="145">
        <v>0.15</v>
      </c>
      <c r="F94" s="146">
        <v>4.6600000000000003E-2</v>
      </c>
      <c r="G94" t="str">
        <f t="shared" si="2"/>
        <v>COWS-6M-More 50-Mortality - Cows inc Parturition-0.15</v>
      </c>
    </row>
    <row r="95" spans="1:7" x14ac:dyDescent="0.25">
      <c r="A95" s="143" t="s">
        <v>363</v>
      </c>
      <c r="B95" s="143" t="s">
        <v>365</v>
      </c>
      <c r="C95" s="143" t="s">
        <v>366</v>
      </c>
      <c r="D95" s="144" t="s">
        <v>386</v>
      </c>
      <c r="E95" s="145">
        <v>0.2</v>
      </c>
      <c r="F95" s="146">
        <v>4.3900000000000002E-2</v>
      </c>
      <c r="G95" t="str">
        <f t="shared" si="2"/>
        <v>COWS-6M-More 50-Mortality - Cows inc Parturition-0.2</v>
      </c>
    </row>
    <row r="96" spans="1:7" x14ac:dyDescent="0.25">
      <c r="A96" s="143" t="s">
        <v>363</v>
      </c>
      <c r="B96" s="143" t="s">
        <v>365</v>
      </c>
      <c r="C96" s="143" t="s">
        <v>366</v>
      </c>
      <c r="D96" s="144" t="s">
        <v>386</v>
      </c>
      <c r="E96" s="145">
        <v>0.25</v>
      </c>
      <c r="F96" s="146">
        <v>4.1099999999999998E-2</v>
      </c>
      <c r="G96" t="str">
        <f t="shared" si="2"/>
        <v>COWS-6M-More 50-Mortality - Cows inc Parturition-0.25</v>
      </c>
    </row>
    <row r="97" spans="1:7" x14ac:dyDescent="0.25">
      <c r="A97" s="143" t="s">
        <v>363</v>
      </c>
      <c r="B97" s="143" t="s">
        <v>365</v>
      </c>
      <c r="C97" s="143" t="s">
        <v>366</v>
      </c>
      <c r="D97" s="144" t="s">
        <v>51</v>
      </c>
      <c r="E97" s="145">
        <v>0</v>
      </c>
      <c r="F97" s="147">
        <v>5.4800000000000001E-2</v>
      </c>
      <c r="G97" t="str">
        <f t="shared" si="2"/>
        <v>COWS-6M-More 50-Mortality-0</v>
      </c>
    </row>
    <row r="98" spans="1:7" x14ac:dyDescent="0.25">
      <c r="A98" s="143" t="s">
        <v>363</v>
      </c>
      <c r="B98" s="143" t="s">
        <v>365</v>
      </c>
      <c r="C98" s="143" t="s">
        <v>366</v>
      </c>
      <c r="D98" s="144" t="s">
        <v>51</v>
      </c>
      <c r="E98" s="145">
        <v>0.1</v>
      </c>
      <c r="F98" s="147">
        <v>4.9399999999999999E-2</v>
      </c>
      <c r="G98" t="str">
        <f t="shared" ref="G98:G129" si="3">CONCATENATE(A98,"-",B98,"-",C98,"-",D98,"-",E98)</f>
        <v>COWS-6M-More 50-Mortality-0.1</v>
      </c>
    </row>
    <row r="99" spans="1:7" x14ac:dyDescent="0.25">
      <c r="A99" s="143" t="s">
        <v>363</v>
      </c>
      <c r="B99" s="143" t="s">
        <v>365</v>
      </c>
      <c r="C99" s="143" t="s">
        <v>366</v>
      </c>
      <c r="D99" s="144" t="s">
        <v>51</v>
      </c>
      <c r="E99" s="145">
        <v>0.15</v>
      </c>
      <c r="F99" s="147">
        <v>4.6600000000000003E-2</v>
      </c>
      <c r="G99" t="str">
        <f t="shared" si="3"/>
        <v>COWS-6M-More 50-Mortality-0.15</v>
      </c>
    </row>
    <row r="100" spans="1:7" x14ac:dyDescent="0.25">
      <c r="A100" s="143" t="s">
        <v>363</v>
      </c>
      <c r="B100" s="143" t="s">
        <v>365</v>
      </c>
      <c r="C100" s="143" t="s">
        <v>366</v>
      </c>
      <c r="D100" s="144" t="s">
        <v>51</v>
      </c>
      <c r="E100" s="145">
        <v>0.2</v>
      </c>
      <c r="F100" s="147">
        <v>4.3900000000000002E-2</v>
      </c>
      <c r="G100" t="str">
        <f t="shared" si="3"/>
        <v>COWS-6M-More 50-Mortality-0.2</v>
      </c>
    </row>
    <row r="101" spans="1:7" x14ac:dyDescent="0.25">
      <c r="A101" s="143" t="s">
        <v>363</v>
      </c>
      <c r="B101" s="143" t="s">
        <v>365</v>
      </c>
      <c r="C101" s="143" t="s">
        <v>366</v>
      </c>
      <c r="D101" s="144" t="s">
        <v>51</v>
      </c>
      <c r="E101" s="145">
        <v>0.25</v>
      </c>
      <c r="F101" s="147">
        <v>4.1099999999999998E-2</v>
      </c>
      <c r="G101" t="str">
        <f t="shared" si="3"/>
        <v>COWS-6M-More 50-Mortality-0.25</v>
      </c>
    </row>
    <row r="102" spans="1:7" x14ac:dyDescent="0.25">
      <c r="A102" s="143" t="s">
        <v>362</v>
      </c>
      <c r="B102" s="143" t="s">
        <v>364</v>
      </c>
      <c r="C102" s="143" t="s">
        <v>367</v>
      </c>
      <c r="D102" s="144" t="s">
        <v>51</v>
      </c>
      <c r="E102" s="145">
        <v>0</v>
      </c>
      <c r="F102" s="147">
        <v>0.13819999999999999</v>
      </c>
      <c r="G102" t="str">
        <f t="shared" si="3"/>
        <v>EWES-12M-Less 50-Mortality-0</v>
      </c>
    </row>
    <row r="103" spans="1:7" x14ac:dyDescent="0.25">
      <c r="A103" s="143" t="s">
        <v>362</v>
      </c>
      <c r="B103" s="143" t="s">
        <v>364</v>
      </c>
      <c r="C103" s="143" t="s">
        <v>367</v>
      </c>
      <c r="D103" s="144" t="s">
        <v>51</v>
      </c>
      <c r="E103" s="145">
        <v>0.1</v>
      </c>
      <c r="F103" s="147">
        <v>0.1244</v>
      </c>
      <c r="G103" t="str">
        <f t="shared" si="3"/>
        <v>EWES-12M-Less 50-Mortality-0.1</v>
      </c>
    </row>
    <row r="104" spans="1:7" x14ac:dyDescent="0.25">
      <c r="A104" s="143" t="s">
        <v>362</v>
      </c>
      <c r="B104" s="143" t="s">
        <v>364</v>
      </c>
      <c r="C104" s="143" t="s">
        <v>367</v>
      </c>
      <c r="D104" s="144" t="s">
        <v>51</v>
      </c>
      <c r="E104" s="145">
        <v>0.15</v>
      </c>
      <c r="F104" s="147">
        <v>0.11749999999999999</v>
      </c>
      <c r="G104" t="str">
        <f t="shared" si="3"/>
        <v>EWES-12M-Less 50-Mortality-0.15</v>
      </c>
    </row>
    <row r="105" spans="1:7" x14ac:dyDescent="0.25">
      <c r="A105" s="143" t="s">
        <v>362</v>
      </c>
      <c r="B105" s="143" t="s">
        <v>364</v>
      </c>
      <c r="C105" s="143" t="s">
        <v>367</v>
      </c>
      <c r="D105" s="144" t="s">
        <v>51</v>
      </c>
      <c r="E105" s="145">
        <v>0.2</v>
      </c>
      <c r="F105" s="147">
        <v>0.1106</v>
      </c>
      <c r="G105" t="str">
        <f t="shared" si="3"/>
        <v>EWES-12M-Less 50-Mortality-0.2</v>
      </c>
    </row>
    <row r="106" spans="1:7" x14ac:dyDescent="0.25">
      <c r="A106" s="143" t="s">
        <v>362</v>
      </c>
      <c r="B106" s="143" t="s">
        <v>364</v>
      </c>
      <c r="C106" s="143" t="s">
        <v>367</v>
      </c>
      <c r="D106" s="144" t="s">
        <v>51</v>
      </c>
      <c r="E106" s="145">
        <v>0.25</v>
      </c>
      <c r="F106" s="147">
        <v>0.1037</v>
      </c>
      <c r="G106" t="str">
        <f t="shared" si="3"/>
        <v>EWES-12M-Less 50-Mortality-0.25</v>
      </c>
    </row>
    <row r="107" spans="1:7" x14ac:dyDescent="0.25">
      <c r="A107" s="143" t="s">
        <v>362</v>
      </c>
      <c r="B107" s="143" t="s">
        <v>364</v>
      </c>
      <c r="C107" s="143" t="s">
        <v>366</v>
      </c>
      <c r="D107" s="144" t="s">
        <v>51</v>
      </c>
      <c r="E107" s="145">
        <v>0</v>
      </c>
      <c r="F107" s="147">
        <v>0.15359999999999999</v>
      </c>
      <c r="G107" t="str">
        <f t="shared" si="3"/>
        <v>EWES-12M-More 50-Mortality-0</v>
      </c>
    </row>
    <row r="108" spans="1:7" x14ac:dyDescent="0.25">
      <c r="A108" s="143" t="s">
        <v>362</v>
      </c>
      <c r="B108" s="143" t="s">
        <v>364</v>
      </c>
      <c r="C108" s="143" t="s">
        <v>366</v>
      </c>
      <c r="D108" s="144" t="s">
        <v>51</v>
      </c>
      <c r="E108" s="145">
        <v>0.1</v>
      </c>
      <c r="F108" s="147">
        <v>0.13819999999999999</v>
      </c>
      <c r="G108" t="str">
        <f t="shared" si="3"/>
        <v>EWES-12M-More 50-Mortality-0.1</v>
      </c>
    </row>
    <row r="109" spans="1:7" x14ac:dyDescent="0.25">
      <c r="A109" s="143" t="s">
        <v>362</v>
      </c>
      <c r="B109" s="143" t="s">
        <v>364</v>
      </c>
      <c r="C109" s="143" t="s">
        <v>366</v>
      </c>
      <c r="D109" s="144" t="s">
        <v>51</v>
      </c>
      <c r="E109" s="145">
        <v>0.15</v>
      </c>
      <c r="F109" s="147">
        <v>0.1305</v>
      </c>
      <c r="G109" t="str">
        <f t="shared" si="3"/>
        <v>EWES-12M-More 50-Mortality-0.15</v>
      </c>
    </row>
    <row r="110" spans="1:7" x14ac:dyDescent="0.25">
      <c r="A110" s="143" t="s">
        <v>362</v>
      </c>
      <c r="B110" s="143" t="s">
        <v>364</v>
      </c>
      <c r="C110" s="143" t="s">
        <v>366</v>
      </c>
      <c r="D110" s="144" t="s">
        <v>51</v>
      </c>
      <c r="E110" s="145">
        <v>0.2</v>
      </c>
      <c r="F110" s="147">
        <v>0.1229</v>
      </c>
      <c r="G110" t="str">
        <f t="shared" si="3"/>
        <v>EWES-12M-More 50-Mortality-0.2</v>
      </c>
    </row>
    <row r="111" spans="1:7" x14ac:dyDescent="0.25">
      <c r="A111" s="143" t="s">
        <v>362</v>
      </c>
      <c r="B111" s="143" t="s">
        <v>364</v>
      </c>
      <c r="C111" s="143" t="s">
        <v>366</v>
      </c>
      <c r="D111" s="144" t="s">
        <v>51</v>
      </c>
      <c r="E111" s="145">
        <v>0.25</v>
      </c>
      <c r="F111" s="147">
        <v>0.1152</v>
      </c>
      <c r="G111" t="str">
        <f t="shared" si="3"/>
        <v>EWES-12M-More 50-Mortality-0.25</v>
      </c>
    </row>
    <row r="112" spans="1:7" x14ac:dyDescent="0.25">
      <c r="A112" s="143" t="s">
        <v>362</v>
      </c>
      <c r="B112" s="143" t="s">
        <v>365</v>
      </c>
      <c r="C112" s="143" t="s">
        <v>367</v>
      </c>
      <c r="D112" s="144" t="s">
        <v>51</v>
      </c>
      <c r="E112" s="145">
        <v>0</v>
      </c>
      <c r="F112" s="147">
        <v>9.8699999999999996E-2</v>
      </c>
      <c r="G112" t="str">
        <f t="shared" si="3"/>
        <v>EWES-6M-Less 50-Mortality-0</v>
      </c>
    </row>
    <row r="113" spans="1:7" x14ac:dyDescent="0.25">
      <c r="A113" s="143" t="s">
        <v>362</v>
      </c>
      <c r="B113" s="143" t="s">
        <v>365</v>
      </c>
      <c r="C113" s="143" t="s">
        <v>367</v>
      </c>
      <c r="D113" s="144" t="s">
        <v>51</v>
      </c>
      <c r="E113" s="145">
        <v>0.1</v>
      </c>
      <c r="F113" s="147">
        <v>8.8800000000000004E-2</v>
      </c>
      <c r="G113" t="str">
        <f t="shared" si="3"/>
        <v>EWES-6M-Less 50-Mortality-0.1</v>
      </c>
    </row>
    <row r="114" spans="1:7" x14ac:dyDescent="0.25">
      <c r="A114" s="143" t="s">
        <v>362</v>
      </c>
      <c r="B114" s="143" t="s">
        <v>365</v>
      </c>
      <c r="C114" s="143" t="s">
        <v>367</v>
      </c>
      <c r="D114" s="144" t="s">
        <v>51</v>
      </c>
      <c r="E114" s="145">
        <v>0.15</v>
      </c>
      <c r="F114" s="147">
        <v>8.3900000000000002E-2</v>
      </c>
      <c r="G114" t="str">
        <f t="shared" si="3"/>
        <v>EWES-6M-Less 50-Mortality-0.15</v>
      </c>
    </row>
    <row r="115" spans="1:7" x14ac:dyDescent="0.25">
      <c r="A115" s="143" t="s">
        <v>362</v>
      </c>
      <c r="B115" s="143" t="s">
        <v>365</v>
      </c>
      <c r="C115" s="143" t="s">
        <v>367</v>
      </c>
      <c r="D115" s="144" t="s">
        <v>51</v>
      </c>
      <c r="E115" s="145">
        <v>0.2</v>
      </c>
      <c r="F115" s="147">
        <v>7.9000000000000001E-2</v>
      </c>
      <c r="G115" t="str">
        <f t="shared" si="3"/>
        <v>EWES-6M-Less 50-Mortality-0.2</v>
      </c>
    </row>
    <row r="116" spans="1:7" x14ac:dyDescent="0.25">
      <c r="A116" s="143" t="s">
        <v>362</v>
      </c>
      <c r="B116" s="143" t="s">
        <v>365</v>
      </c>
      <c r="C116" s="143" t="s">
        <v>367</v>
      </c>
      <c r="D116" s="144" t="s">
        <v>51</v>
      </c>
      <c r="E116" s="145">
        <v>0.25</v>
      </c>
      <c r="F116" s="147">
        <v>7.3999999999999996E-2</v>
      </c>
      <c r="G116" t="str">
        <f t="shared" si="3"/>
        <v>EWES-6M-Less 50-Mortality-0.25</v>
      </c>
    </row>
    <row r="117" spans="1:7" x14ac:dyDescent="0.25">
      <c r="A117" s="143" t="s">
        <v>362</v>
      </c>
      <c r="B117" s="143" t="s">
        <v>365</v>
      </c>
      <c r="C117" s="143" t="s">
        <v>366</v>
      </c>
      <c r="D117" s="144" t="s">
        <v>51</v>
      </c>
      <c r="E117" s="145">
        <v>0</v>
      </c>
      <c r="F117" s="147">
        <v>0.10970000000000001</v>
      </c>
      <c r="G117" t="str">
        <f t="shared" si="3"/>
        <v>EWES-6M-More 50-Mortality-0</v>
      </c>
    </row>
    <row r="118" spans="1:7" x14ac:dyDescent="0.25">
      <c r="A118" s="143" t="s">
        <v>362</v>
      </c>
      <c r="B118" s="143" t="s">
        <v>365</v>
      </c>
      <c r="C118" s="143" t="s">
        <v>366</v>
      </c>
      <c r="D118" s="144" t="s">
        <v>51</v>
      </c>
      <c r="E118" s="145">
        <v>0.1</v>
      </c>
      <c r="F118" s="147">
        <v>9.8699999999999996E-2</v>
      </c>
      <c r="G118" t="str">
        <f t="shared" si="3"/>
        <v>EWES-6M-More 50-Mortality-0.1</v>
      </c>
    </row>
    <row r="119" spans="1:7" x14ac:dyDescent="0.25">
      <c r="A119" s="143" t="s">
        <v>362</v>
      </c>
      <c r="B119" s="143" t="s">
        <v>365</v>
      </c>
      <c r="C119" s="143" t="s">
        <v>366</v>
      </c>
      <c r="D119" s="144" t="s">
        <v>51</v>
      </c>
      <c r="E119" s="145">
        <v>0.15</v>
      </c>
      <c r="F119" s="147">
        <v>9.3200000000000005E-2</v>
      </c>
      <c r="G119" t="str">
        <f t="shared" si="3"/>
        <v>EWES-6M-More 50-Mortality-0.15</v>
      </c>
    </row>
    <row r="120" spans="1:7" x14ac:dyDescent="0.25">
      <c r="A120" s="143" t="s">
        <v>362</v>
      </c>
      <c r="B120" s="143" t="s">
        <v>365</v>
      </c>
      <c r="C120" s="143" t="s">
        <v>366</v>
      </c>
      <c r="D120" s="144" t="s">
        <v>51</v>
      </c>
      <c r="E120" s="145">
        <v>0.2</v>
      </c>
      <c r="F120" s="147">
        <v>8.7800000000000003E-2</v>
      </c>
      <c r="G120" t="str">
        <f t="shared" si="3"/>
        <v>EWES-6M-More 50-Mortality-0.2</v>
      </c>
    </row>
    <row r="121" spans="1:7" x14ac:dyDescent="0.25">
      <c r="A121" s="143" t="s">
        <v>362</v>
      </c>
      <c r="B121" s="143" t="s">
        <v>365</v>
      </c>
      <c r="C121" s="143" t="s">
        <v>366</v>
      </c>
      <c r="D121" s="144" t="s">
        <v>51</v>
      </c>
      <c r="E121" s="145">
        <v>0.25</v>
      </c>
      <c r="F121" s="147">
        <v>8.2299999999999998E-2</v>
      </c>
      <c r="G121" t="str">
        <f t="shared" si="3"/>
        <v>EWES-6M-More 50-Mortality-0.25</v>
      </c>
    </row>
    <row r="122" spans="1:7" x14ac:dyDescent="0.25">
      <c r="A122" s="143" t="s">
        <v>361</v>
      </c>
      <c r="B122" s="143" t="s">
        <v>364</v>
      </c>
      <c r="C122" s="143" t="s">
        <v>367</v>
      </c>
      <c r="D122" s="144" t="s">
        <v>51</v>
      </c>
      <c r="E122" s="145">
        <v>0</v>
      </c>
      <c r="F122" s="147">
        <v>7.9000000000000001E-2</v>
      </c>
      <c r="G122" t="str">
        <f t="shared" si="3"/>
        <v>GOATS-12M-Less 50-Mortality-0</v>
      </c>
    </row>
    <row r="123" spans="1:7" x14ac:dyDescent="0.25">
      <c r="A123" s="143" t="s">
        <v>361</v>
      </c>
      <c r="B123" s="143" t="s">
        <v>364</v>
      </c>
      <c r="C123" s="143" t="s">
        <v>367</v>
      </c>
      <c r="D123" s="144" t="s">
        <v>51</v>
      </c>
      <c r="E123" s="145">
        <v>0.1</v>
      </c>
      <c r="F123" s="147">
        <v>7.1099999999999997E-2</v>
      </c>
      <c r="G123" t="str">
        <f t="shared" si="3"/>
        <v>GOATS-12M-Less 50-Mortality-0.1</v>
      </c>
    </row>
    <row r="124" spans="1:7" x14ac:dyDescent="0.25">
      <c r="A124" s="143" t="s">
        <v>361</v>
      </c>
      <c r="B124" s="143" t="s">
        <v>364</v>
      </c>
      <c r="C124" s="143" t="s">
        <v>367</v>
      </c>
      <c r="D124" s="144" t="s">
        <v>51</v>
      </c>
      <c r="E124" s="145">
        <v>0.15</v>
      </c>
      <c r="F124" s="147">
        <v>6.7100000000000007E-2</v>
      </c>
      <c r="G124" t="str">
        <f t="shared" si="3"/>
        <v>GOATS-12M-Less 50-Mortality-0.15</v>
      </c>
    </row>
    <row r="125" spans="1:7" x14ac:dyDescent="0.25">
      <c r="A125" s="143" t="s">
        <v>361</v>
      </c>
      <c r="B125" s="143" t="s">
        <v>364</v>
      </c>
      <c r="C125" s="143" t="s">
        <v>367</v>
      </c>
      <c r="D125" s="144" t="s">
        <v>51</v>
      </c>
      <c r="E125" s="145">
        <v>0.2</v>
      </c>
      <c r="F125" s="147">
        <v>6.3200000000000006E-2</v>
      </c>
      <c r="G125" t="str">
        <f t="shared" si="3"/>
        <v>GOATS-12M-Less 50-Mortality-0.2</v>
      </c>
    </row>
    <row r="126" spans="1:7" x14ac:dyDescent="0.25">
      <c r="A126" s="143" t="s">
        <v>361</v>
      </c>
      <c r="B126" s="143" t="s">
        <v>364</v>
      </c>
      <c r="C126" s="143" t="s">
        <v>367</v>
      </c>
      <c r="D126" s="144" t="s">
        <v>51</v>
      </c>
      <c r="E126" s="145">
        <v>0.25</v>
      </c>
      <c r="F126" s="147">
        <v>5.9200000000000003E-2</v>
      </c>
      <c r="G126" t="str">
        <f t="shared" si="3"/>
        <v>GOATS-12M-Less 50-Mortality-0.25</v>
      </c>
    </row>
    <row r="127" spans="1:7" x14ac:dyDescent="0.25">
      <c r="A127" s="143" t="s">
        <v>361</v>
      </c>
      <c r="B127" s="143" t="s">
        <v>364</v>
      </c>
      <c r="C127" s="143" t="s">
        <v>366</v>
      </c>
      <c r="D127" s="144" t="s">
        <v>51</v>
      </c>
      <c r="E127" s="145">
        <v>0</v>
      </c>
      <c r="F127" s="147">
        <v>8.7800000000000003E-2</v>
      </c>
      <c r="G127" t="str">
        <f t="shared" si="3"/>
        <v>GOATS-12M-More 50-Mortality-0</v>
      </c>
    </row>
    <row r="128" spans="1:7" x14ac:dyDescent="0.25">
      <c r="A128" s="143" t="s">
        <v>361</v>
      </c>
      <c r="B128" s="143" t="s">
        <v>364</v>
      </c>
      <c r="C128" s="143" t="s">
        <v>366</v>
      </c>
      <c r="D128" s="144" t="s">
        <v>51</v>
      </c>
      <c r="E128" s="145">
        <v>0.1</v>
      </c>
      <c r="F128" s="147">
        <v>7.9000000000000001E-2</v>
      </c>
      <c r="G128" t="str">
        <f t="shared" si="3"/>
        <v>GOATS-12M-More 50-Mortality-0.1</v>
      </c>
    </row>
    <row r="129" spans="1:7" x14ac:dyDescent="0.25">
      <c r="A129" s="143" t="s">
        <v>361</v>
      </c>
      <c r="B129" s="143" t="s">
        <v>364</v>
      </c>
      <c r="C129" s="143" t="s">
        <v>366</v>
      </c>
      <c r="D129" s="144" t="s">
        <v>51</v>
      </c>
      <c r="E129" s="145">
        <v>0.15</v>
      </c>
      <c r="F129" s="147">
        <v>7.46E-2</v>
      </c>
      <c r="G129" t="str">
        <f t="shared" si="3"/>
        <v>GOATS-12M-More 50-Mortality-0.15</v>
      </c>
    </row>
    <row r="130" spans="1:7" x14ac:dyDescent="0.25">
      <c r="A130" s="143" t="s">
        <v>361</v>
      </c>
      <c r="B130" s="143" t="s">
        <v>364</v>
      </c>
      <c r="C130" s="143" t="s">
        <v>366</v>
      </c>
      <c r="D130" s="144" t="s">
        <v>51</v>
      </c>
      <c r="E130" s="145">
        <v>0.2</v>
      </c>
      <c r="F130" s="147">
        <v>7.0199999999999999E-2</v>
      </c>
      <c r="G130" t="str">
        <f t="shared" ref="G130:G161" si="4">CONCATENATE(A130,"-",B130,"-",C130,"-",D130,"-",E130)</f>
        <v>GOATS-12M-More 50-Mortality-0.2</v>
      </c>
    </row>
    <row r="131" spans="1:7" x14ac:dyDescent="0.25">
      <c r="A131" s="143" t="s">
        <v>361</v>
      </c>
      <c r="B131" s="143" t="s">
        <v>364</v>
      </c>
      <c r="C131" s="143" t="s">
        <v>366</v>
      </c>
      <c r="D131" s="144" t="s">
        <v>51</v>
      </c>
      <c r="E131" s="145">
        <v>0.25</v>
      </c>
      <c r="F131" s="147">
        <v>6.5799999999999997E-2</v>
      </c>
      <c r="G131" t="str">
        <f t="shared" si="4"/>
        <v>GOATS-12M-More 50-Mortality-0.25</v>
      </c>
    </row>
    <row r="132" spans="1:7" x14ac:dyDescent="0.25">
      <c r="A132" s="143" t="s">
        <v>361</v>
      </c>
      <c r="B132" s="143" t="s">
        <v>365</v>
      </c>
      <c r="C132" s="143" t="s">
        <v>367</v>
      </c>
      <c r="D132" s="144" t="s">
        <v>51</v>
      </c>
      <c r="E132" s="145">
        <v>0</v>
      </c>
      <c r="F132" s="147">
        <v>4.9399999999999999E-2</v>
      </c>
      <c r="G132" t="str">
        <f t="shared" si="4"/>
        <v>GOATS-6M-Less 50-Mortality-0</v>
      </c>
    </row>
    <row r="133" spans="1:7" x14ac:dyDescent="0.25">
      <c r="A133" s="143" t="s">
        <v>361</v>
      </c>
      <c r="B133" s="143" t="s">
        <v>365</v>
      </c>
      <c r="C133" s="143" t="s">
        <v>367</v>
      </c>
      <c r="D133" s="144" t="s">
        <v>51</v>
      </c>
      <c r="E133" s="145">
        <v>0.1</v>
      </c>
      <c r="F133" s="147">
        <v>4.4400000000000002E-2</v>
      </c>
      <c r="G133" t="str">
        <f t="shared" si="4"/>
        <v>GOATS-6M-Less 50-Mortality-0.1</v>
      </c>
    </row>
    <row r="134" spans="1:7" x14ac:dyDescent="0.25">
      <c r="A134" s="143" t="s">
        <v>361</v>
      </c>
      <c r="B134" s="143" t="s">
        <v>365</v>
      </c>
      <c r="C134" s="143" t="s">
        <v>367</v>
      </c>
      <c r="D134" s="144" t="s">
        <v>51</v>
      </c>
      <c r="E134" s="145">
        <v>0.15</v>
      </c>
      <c r="F134" s="147">
        <v>4.2000000000000003E-2</v>
      </c>
      <c r="G134" t="str">
        <f t="shared" si="4"/>
        <v>GOATS-6M-Less 50-Mortality-0.15</v>
      </c>
    </row>
    <row r="135" spans="1:7" x14ac:dyDescent="0.25">
      <c r="A135" s="143" t="s">
        <v>361</v>
      </c>
      <c r="B135" s="143" t="s">
        <v>365</v>
      </c>
      <c r="C135" s="143" t="s">
        <v>367</v>
      </c>
      <c r="D135" s="144" t="s">
        <v>51</v>
      </c>
      <c r="E135" s="145">
        <v>0.2</v>
      </c>
      <c r="F135" s="147">
        <v>3.95E-2</v>
      </c>
      <c r="G135" t="str">
        <f t="shared" si="4"/>
        <v>GOATS-6M-Less 50-Mortality-0.2</v>
      </c>
    </row>
    <row r="136" spans="1:7" x14ac:dyDescent="0.25">
      <c r="A136" s="143" t="s">
        <v>361</v>
      </c>
      <c r="B136" s="143" t="s">
        <v>365</v>
      </c>
      <c r="C136" s="143" t="s">
        <v>367</v>
      </c>
      <c r="D136" s="144" t="s">
        <v>51</v>
      </c>
      <c r="E136" s="145">
        <v>0.25</v>
      </c>
      <c r="F136" s="147">
        <v>3.6999999999999998E-2</v>
      </c>
      <c r="G136" t="str">
        <f t="shared" si="4"/>
        <v>GOATS-6M-Less 50-Mortality-0.25</v>
      </c>
    </row>
    <row r="137" spans="1:7" x14ac:dyDescent="0.25">
      <c r="A137" s="143" t="s">
        <v>361</v>
      </c>
      <c r="B137" s="143" t="s">
        <v>365</v>
      </c>
      <c r="C137" s="143" t="s">
        <v>366</v>
      </c>
      <c r="D137" s="144" t="s">
        <v>51</v>
      </c>
      <c r="E137" s="145">
        <v>0</v>
      </c>
      <c r="F137" s="147">
        <v>5.4800000000000001E-2</v>
      </c>
      <c r="G137" t="str">
        <f t="shared" si="4"/>
        <v>GOATS-6M-More 50-Mortality-0</v>
      </c>
    </row>
    <row r="138" spans="1:7" x14ac:dyDescent="0.25">
      <c r="A138" s="143" t="s">
        <v>361</v>
      </c>
      <c r="B138" s="143" t="s">
        <v>365</v>
      </c>
      <c r="C138" s="143" t="s">
        <v>366</v>
      </c>
      <c r="D138" s="144" t="s">
        <v>51</v>
      </c>
      <c r="E138" s="145">
        <v>0.1</v>
      </c>
      <c r="F138" s="147">
        <v>4.9399999999999999E-2</v>
      </c>
      <c r="G138" t="str">
        <f t="shared" si="4"/>
        <v>GOATS-6M-More 50-Mortality-0.1</v>
      </c>
    </row>
    <row r="139" spans="1:7" x14ac:dyDescent="0.25">
      <c r="A139" s="143" t="s">
        <v>361</v>
      </c>
      <c r="B139" s="143" t="s">
        <v>365</v>
      </c>
      <c r="C139" s="143" t="s">
        <v>366</v>
      </c>
      <c r="D139" s="144" t="s">
        <v>51</v>
      </c>
      <c r="E139" s="145">
        <v>0.15</v>
      </c>
      <c r="F139" s="147">
        <v>4.6600000000000003E-2</v>
      </c>
      <c r="G139" t="str">
        <f t="shared" si="4"/>
        <v>GOATS-6M-More 50-Mortality-0.15</v>
      </c>
    </row>
    <row r="140" spans="1:7" x14ac:dyDescent="0.25">
      <c r="A140" s="143" t="s">
        <v>361</v>
      </c>
      <c r="B140" s="143" t="s">
        <v>365</v>
      </c>
      <c r="C140" s="143" t="s">
        <v>366</v>
      </c>
      <c r="D140" s="144" t="s">
        <v>51</v>
      </c>
      <c r="E140" s="145">
        <v>0.2</v>
      </c>
      <c r="F140" s="147">
        <v>4.3900000000000002E-2</v>
      </c>
      <c r="G140" t="str">
        <f t="shared" si="4"/>
        <v>GOATS-6M-More 50-Mortality-0.2</v>
      </c>
    </row>
    <row r="141" spans="1:7" x14ac:dyDescent="0.25">
      <c r="A141" s="143" t="s">
        <v>361</v>
      </c>
      <c r="B141" s="143" t="s">
        <v>365</v>
      </c>
      <c r="C141" s="143" t="s">
        <v>366</v>
      </c>
      <c r="D141" s="144" t="s">
        <v>51</v>
      </c>
      <c r="E141" s="145">
        <v>0.25</v>
      </c>
      <c r="F141" s="147">
        <v>4.1099999999999998E-2</v>
      </c>
      <c r="G141" t="str">
        <f t="shared" si="4"/>
        <v>GOATS-6M-More 50-Mortality-0.25</v>
      </c>
    </row>
    <row r="142" spans="1:7" x14ac:dyDescent="0.25">
      <c r="A142" s="143" t="s">
        <v>359</v>
      </c>
      <c r="B142" s="143" t="s">
        <v>364</v>
      </c>
      <c r="C142" s="143" t="s">
        <v>367</v>
      </c>
      <c r="D142" s="144" t="s">
        <v>378</v>
      </c>
      <c r="E142" s="145">
        <v>0</v>
      </c>
      <c r="F142" s="146">
        <v>0.14810000000000001</v>
      </c>
      <c r="G142" t="str">
        <f t="shared" si="4"/>
        <v>RAMS-12M-Less 50-Loss of Use Accident &amp; Illness-0</v>
      </c>
    </row>
    <row r="143" spans="1:7" x14ac:dyDescent="0.25">
      <c r="A143" s="143" t="s">
        <v>359</v>
      </c>
      <c r="B143" s="143" t="s">
        <v>364</v>
      </c>
      <c r="C143" s="143" t="s">
        <v>367</v>
      </c>
      <c r="D143" s="144" t="s">
        <v>378</v>
      </c>
      <c r="E143" s="145">
        <v>0.1</v>
      </c>
      <c r="F143" s="146">
        <v>0.1333</v>
      </c>
      <c r="G143" t="str">
        <f t="shared" si="4"/>
        <v>RAMS-12M-Less 50-Loss of Use Accident &amp; Illness-0.1</v>
      </c>
    </row>
    <row r="144" spans="1:7" x14ac:dyDescent="0.25">
      <c r="A144" s="143" t="s">
        <v>359</v>
      </c>
      <c r="B144" s="143" t="s">
        <v>364</v>
      </c>
      <c r="C144" s="143" t="s">
        <v>367</v>
      </c>
      <c r="D144" s="144" t="s">
        <v>378</v>
      </c>
      <c r="E144" s="145">
        <v>0.15</v>
      </c>
      <c r="F144" s="146">
        <v>0.12590000000000001</v>
      </c>
      <c r="G144" t="str">
        <f t="shared" si="4"/>
        <v>RAMS-12M-Less 50-Loss of Use Accident &amp; Illness-0.15</v>
      </c>
    </row>
    <row r="145" spans="1:7" x14ac:dyDescent="0.25">
      <c r="A145" s="143" t="s">
        <v>359</v>
      </c>
      <c r="B145" s="143" t="s">
        <v>364</v>
      </c>
      <c r="C145" s="143" t="s">
        <v>367</v>
      </c>
      <c r="D145" s="144" t="s">
        <v>378</v>
      </c>
      <c r="E145" s="145">
        <v>0.2</v>
      </c>
      <c r="F145" s="146">
        <v>0.11849999999999999</v>
      </c>
      <c r="G145" t="str">
        <f t="shared" si="4"/>
        <v>RAMS-12M-Less 50-Loss of Use Accident &amp; Illness-0.2</v>
      </c>
    </row>
    <row r="146" spans="1:7" x14ac:dyDescent="0.25">
      <c r="A146" s="143" t="s">
        <v>359</v>
      </c>
      <c r="B146" s="143" t="s">
        <v>364</v>
      </c>
      <c r="C146" s="143" t="s">
        <v>367</v>
      </c>
      <c r="D146" s="144" t="s">
        <v>378</v>
      </c>
      <c r="E146" s="145">
        <v>0.25</v>
      </c>
      <c r="F146" s="146">
        <v>0.1111</v>
      </c>
      <c r="G146" t="str">
        <f t="shared" si="4"/>
        <v>RAMS-12M-Less 50-Loss of Use Accident &amp; Illness-0.25</v>
      </c>
    </row>
    <row r="147" spans="1:7" x14ac:dyDescent="0.25">
      <c r="A147" s="143" t="s">
        <v>359</v>
      </c>
      <c r="B147" s="143" t="s">
        <v>364</v>
      </c>
      <c r="C147" s="143" t="s">
        <v>367</v>
      </c>
      <c r="D147" s="144" t="s">
        <v>339</v>
      </c>
      <c r="E147" s="145">
        <v>0</v>
      </c>
      <c r="F147" s="146">
        <v>0.11849999999999999</v>
      </c>
      <c r="G147" t="str">
        <f t="shared" si="4"/>
        <v>RAMS-12M-Less 50-Loss of Use Accident-0</v>
      </c>
    </row>
    <row r="148" spans="1:7" x14ac:dyDescent="0.25">
      <c r="A148" s="143" t="s">
        <v>359</v>
      </c>
      <c r="B148" s="143" t="s">
        <v>364</v>
      </c>
      <c r="C148" s="143" t="s">
        <v>367</v>
      </c>
      <c r="D148" s="144" t="s">
        <v>339</v>
      </c>
      <c r="E148" s="145">
        <v>0.1</v>
      </c>
      <c r="F148" s="146">
        <v>0.1066</v>
      </c>
      <c r="G148" t="str">
        <f t="shared" si="4"/>
        <v>RAMS-12M-Less 50-Loss of Use Accident-0.1</v>
      </c>
    </row>
    <row r="149" spans="1:7" x14ac:dyDescent="0.25">
      <c r="A149" s="143" t="s">
        <v>359</v>
      </c>
      <c r="B149" s="143" t="s">
        <v>364</v>
      </c>
      <c r="C149" s="143" t="s">
        <v>367</v>
      </c>
      <c r="D149" s="144" t="s">
        <v>339</v>
      </c>
      <c r="E149" s="145">
        <v>0.15</v>
      </c>
      <c r="F149" s="146">
        <v>0.1007</v>
      </c>
      <c r="G149" t="str">
        <f t="shared" si="4"/>
        <v>RAMS-12M-Less 50-Loss of Use Accident-0.15</v>
      </c>
    </row>
    <row r="150" spans="1:7" x14ac:dyDescent="0.25">
      <c r="A150" s="143" t="s">
        <v>359</v>
      </c>
      <c r="B150" s="143" t="s">
        <v>364</v>
      </c>
      <c r="C150" s="143" t="s">
        <v>367</v>
      </c>
      <c r="D150" s="144" t="s">
        <v>339</v>
      </c>
      <c r="E150" s="145">
        <v>0.2</v>
      </c>
      <c r="F150" s="146">
        <v>9.4799999999999995E-2</v>
      </c>
      <c r="G150" t="str">
        <f t="shared" si="4"/>
        <v>RAMS-12M-Less 50-Loss of Use Accident-0.2</v>
      </c>
    </row>
    <row r="151" spans="1:7" x14ac:dyDescent="0.25">
      <c r="A151" s="143" t="s">
        <v>359</v>
      </c>
      <c r="B151" s="143" t="s">
        <v>364</v>
      </c>
      <c r="C151" s="143" t="s">
        <v>367</v>
      </c>
      <c r="D151" s="144" t="s">
        <v>339</v>
      </c>
      <c r="E151" s="145">
        <v>0.25</v>
      </c>
      <c r="F151" s="146">
        <v>8.8800000000000004E-2</v>
      </c>
      <c r="G151" t="str">
        <f t="shared" si="4"/>
        <v>RAMS-12M-Less 50-Loss of Use Accident-0.25</v>
      </c>
    </row>
    <row r="152" spans="1:7" x14ac:dyDescent="0.25">
      <c r="A152" s="143" t="s">
        <v>359</v>
      </c>
      <c r="B152" s="143" t="s">
        <v>364</v>
      </c>
      <c r="C152" s="143" t="s">
        <v>367</v>
      </c>
      <c r="D152" s="144" t="s">
        <v>51</v>
      </c>
      <c r="E152" s="145">
        <v>0</v>
      </c>
      <c r="F152" s="146">
        <v>9.8699999999999996E-2</v>
      </c>
      <c r="G152" t="str">
        <f t="shared" si="4"/>
        <v>RAMS-12M-Less 50-Mortality-0</v>
      </c>
    </row>
    <row r="153" spans="1:7" x14ac:dyDescent="0.25">
      <c r="A153" s="143" t="s">
        <v>359</v>
      </c>
      <c r="B153" s="143" t="s">
        <v>364</v>
      </c>
      <c r="C153" s="143" t="s">
        <v>367</v>
      </c>
      <c r="D153" s="144" t="s">
        <v>51</v>
      </c>
      <c r="E153" s="145">
        <v>0.1</v>
      </c>
      <c r="F153" s="146">
        <v>8.8800000000000004E-2</v>
      </c>
      <c r="G153" t="str">
        <f t="shared" si="4"/>
        <v>RAMS-12M-Less 50-Mortality-0.1</v>
      </c>
    </row>
    <row r="154" spans="1:7" x14ac:dyDescent="0.25">
      <c r="A154" s="143" t="s">
        <v>359</v>
      </c>
      <c r="B154" s="143" t="s">
        <v>364</v>
      </c>
      <c r="C154" s="143" t="s">
        <v>367</v>
      </c>
      <c r="D154" s="144" t="s">
        <v>51</v>
      </c>
      <c r="E154" s="145">
        <v>0.15</v>
      </c>
      <c r="F154" s="146">
        <v>8.3900000000000002E-2</v>
      </c>
      <c r="G154" t="str">
        <f t="shared" si="4"/>
        <v>RAMS-12M-Less 50-Mortality-0.15</v>
      </c>
    </row>
    <row r="155" spans="1:7" x14ac:dyDescent="0.25">
      <c r="A155" s="143" t="s">
        <v>359</v>
      </c>
      <c r="B155" s="143" t="s">
        <v>364</v>
      </c>
      <c r="C155" s="143" t="s">
        <v>367</v>
      </c>
      <c r="D155" s="144" t="s">
        <v>51</v>
      </c>
      <c r="E155" s="145">
        <v>0.2</v>
      </c>
      <c r="F155" s="146">
        <v>7.9000000000000001E-2</v>
      </c>
      <c r="G155" t="str">
        <f t="shared" si="4"/>
        <v>RAMS-12M-Less 50-Mortality-0.2</v>
      </c>
    </row>
    <row r="156" spans="1:7" x14ac:dyDescent="0.25">
      <c r="A156" s="143" t="s">
        <v>359</v>
      </c>
      <c r="B156" s="143" t="s">
        <v>364</v>
      </c>
      <c r="C156" s="143" t="s">
        <v>367</v>
      </c>
      <c r="D156" s="144" t="s">
        <v>51</v>
      </c>
      <c r="E156" s="145">
        <v>0.25</v>
      </c>
      <c r="F156" s="146">
        <v>7.3999999999999996E-2</v>
      </c>
      <c r="G156" t="str">
        <f t="shared" si="4"/>
        <v>RAMS-12M-Less 50-Mortality-0.25</v>
      </c>
    </row>
    <row r="157" spans="1:7" x14ac:dyDescent="0.25">
      <c r="A157" s="143" t="s">
        <v>359</v>
      </c>
      <c r="B157" s="143" t="s">
        <v>364</v>
      </c>
      <c r="C157" s="143" t="s">
        <v>366</v>
      </c>
      <c r="D157" s="144" t="s">
        <v>378</v>
      </c>
      <c r="E157" s="145">
        <v>0</v>
      </c>
      <c r="F157" s="146">
        <v>0.16450000000000001</v>
      </c>
      <c r="G157" t="str">
        <f t="shared" si="4"/>
        <v>RAMS-12M-More 50-Loss of Use Accident &amp; Illness-0</v>
      </c>
    </row>
    <row r="158" spans="1:7" x14ac:dyDescent="0.25">
      <c r="A158" s="143" t="s">
        <v>359</v>
      </c>
      <c r="B158" s="143" t="s">
        <v>364</v>
      </c>
      <c r="C158" s="143" t="s">
        <v>366</v>
      </c>
      <c r="D158" s="144" t="s">
        <v>378</v>
      </c>
      <c r="E158" s="145">
        <v>0.1</v>
      </c>
      <c r="F158" s="146">
        <v>0.14810000000000001</v>
      </c>
      <c r="G158" t="str">
        <f t="shared" si="4"/>
        <v>RAMS-12M-More 50-Loss of Use Accident &amp; Illness-0.1</v>
      </c>
    </row>
    <row r="159" spans="1:7" x14ac:dyDescent="0.25">
      <c r="A159" s="143" t="s">
        <v>359</v>
      </c>
      <c r="B159" s="143" t="s">
        <v>364</v>
      </c>
      <c r="C159" s="143" t="s">
        <v>366</v>
      </c>
      <c r="D159" s="144" t="s">
        <v>378</v>
      </c>
      <c r="E159" s="145">
        <v>0.15</v>
      </c>
      <c r="F159" s="146">
        <v>0.1399</v>
      </c>
      <c r="G159" t="str">
        <f t="shared" si="4"/>
        <v>RAMS-12M-More 50-Loss of Use Accident &amp; Illness-0.15</v>
      </c>
    </row>
    <row r="160" spans="1:7" x14ac:dyDescent="0.25">
      <c r="A160" s="143" t="s">
        <v>359</v>
      </c>
      <c r="B160" s="143" t="s">
        <v>364</v>
      </c>
      <c r="C160" s="143" t="s">
        <v>366</v>
      </c>
      <c r="D160" s="144" t="s">
        <v>378</v>
      </c>
      <c r="E160" s="145">
        <v>0.2</v>
      </c>
      <c r="F160" s="146">
        <v>0.13159999999999999</v>
      </c>
      <c r="G160" t="str">
        <f t="shared" si="4"/>
        <v>RAMS-12M-More 50-Loss of Use Accident &amp; Illness-0.2</v>
      </c>
    </row>
    <row r="161" spans="1:7" x14ac:dyDescent="0.25">
      <c r="A161" s="143" t="s">
        <v>359</v>
      </c>
      <c r="B161" s="143" t="s">
        <v>364</v>
      </c>
      <c r="C161" s="143" t="s">
        <v>366</v>
      </c>
      <c r="D161" s="144" t="s">
        <v>378</v>
      </c>
      <c r="E161" s="145">
        <v>0.25</v>
      </c>
      <c r="F161" s="146">
        <v>0.1234</v>
      </c>
      <c r="G161" t="str">
        <f t="shared" si="4"/>
        <v>RAMS-12M-More 50-Loss of Use Accident &amp; Illness-0.25</v>
      </c>
    </row>
    <row r="162" spans="1:7" x14ac:dyDescent="0.25">
      <c r="A162" s="143" t="s">
        <v>359</v>
      </c>
      <c r="B162" s="143" t="s">
        <v>364</v>
      </c>
      <c r="C162" s="143" t="s">
        <v>366</v>
      </c>
      <c r="D162" s="144" t="s">
        <v>339</v>
      </c>
      <c r="E162" s="145">
        <v>0</v>
      </c>
      <c r="F162" s="146">
        <v>0.13159999999999999</v>
      </c>
      <c r="G162" t="str">
        <f t="shared" ref="G162:G193" si="5">CONCATENATE(A162,"-",B162,"-",C162,"-",D162,"-",E162)</f>
        <v>RAMS-12M-More 50-Loss of Use Accident-0</v>
      </c>
    </row>
    <row r="163" spans="1:7" x14ac:dyDescent="0.25">
      <c r="A163" s="143" t="s">
        <v>359</v>
      </c>
      <c r="B163" s="143" t="s">
        <v>364</v>
      </c>
      <c r="C163" s="143" t="s">
        <v>366</v>
      </c>
      <c r="D163" s="144" t="s">
        <v>339</v>
      </c>
      <c r="E163" s="145">
        <v>0.1</v>
      </c>
      <c r="F163" s="146">
        <v>0.11849999999999999</v>
      </c>
      <c r="G163" t="str">
        <f t="shared" si="5"/>
        <v>RAMS-12M-More 50-Loss of Use Accident-0.1</v>
      </c>
    </row>
    <row r="164" spans="1:7" x14ac:dyDescent="0.25">
      <c r="A164" s="143" t="s">
        <v>359</v>
      </c>
      <c r="B164" s="143" t="s">
        <v>364</v>
      </c>
      <c r="C164" s="143" t="s">
        <v>366</v>
      </c>
      <c r="D164" s="144" t="s">
        <v>339</v>
      </c>
      <c r="E164" s="145">
        <v>0.15</v>
      </c>
      <c r="F164" s="146">
        <v>0.1119</v>
      </c>
      <c r="G164" t="str">
        <f t="shared" si="5"/>
        <v>RAMS-12M-More 50-Loss of Use Accident-0.15</v>
      </c>
    </row>
    <row r="165" spans="1:7" x14ac:dyDescent="0.25">
      <c r="A165" s="143" t="s">
        <v>359</v>
      </c>
      <c r="B165" s="143" t="s">
        <v>364</v>
      </c>
      <c r="C165" s="143" t="s">
        <v>366</v>
      </c>
      <c r="D165" s="144" t="s">
        <v>339</v>
      </c>
      <c r="E165" s="145">
        <v>0.2</v>
      </c>
      <c r="F165" s="146">
        <v>0.1053</v>
      </c>
      <c r="G165" t="str">
        <f t="shared" si="5"/>
        <v>RAMS-12M-More 50-Loss of Use Accident-0.2</v>
      </c>
    </row>
    <row r="166" spans="1:7" x14ac:dyDescent="0.25">
      <c r="A166" s="143" t="s">
        <v>359</v>
      </c>
      <c r="B166" s="143" t="s">
        <v>364</v>
      </c>
      <c r="C166" s="143" t="s">
        <v>366</v>
      </c>
      <c r="D166" s="144" t="s">
        <v>339</v>
      </c>
      <c r="E166" s="145">
        <v>0.25</v>
      </c>
      <c r="F166" s="146">
        <v>9.8699999999999996E-2</v>
      </c>
      <c r="G166" t="str">
        <f t="shared" si="5"/>
        <v>RAMS-12M-More 50-Loss of Use Accident-0.25</v>
      </c>
    </row>
    <row r="167" spans="1:7" x14ac:dyDescent="0.25">
      <c r="A167" s="143" t="s">
        <v>359</v>
      </c>
      <c r="B167" s="143" t="s">
        <v>364</v>
      </c>
      <c r="C167" s="143" t="s">
        <v>366</v>
      </c>
      <c r="D167" s="144" t="s">
        <v>51</v>
      </c>
      <c r="E167" s="145">
        <v>0</v>
      </c>
      <c r="F167" s="146">
        <v>0.10970000000000001</v>
      </c>
      <c r="G167" t="str">
        <f t="shared" si="5"/>
        <v>RAMS-12M-More 50-Mortality-0</v>
      </c>
    </row>
    <row r="168" spans="1:7" x14ac:dyDescent="0.25">
      <c r="A168" s="143" t="s">
        <v>359</v>
      </c>
      <c r="B168" s="143" t="s">
        <v>364</v>
      </c>
      <c r="C168" s="143" t="s">
        <v>366</v>
      </c>
      <c r="D168" s="144" t="s">
        <v>51</v>
      </c>
      <c r="E168" s="145">
        <v>0.1</v>
      </c>
      <c r="F168" s="146">
        <v>9.8699999999999996E-2</v>
      </c>
      <c r="G168" t="str">
        <f t="shared" si="5"/>
        <v>RAMS-12M-More 50-Mortality-0.1</v>
      </c>
    </row>
    <row r="169" spans="1:7" x14ac:dyDescent="0.25">
      <c r="A169" s="143" t="s">
        <v>359</v>
      </c>
      <c r="B169" s="143" t="s">
        <v>364</v>
      </c>
      <c r="C169" s="143" t="s">
        <v>366</v>
      </c>
      <c r="D169" s="144" t="s">
        <v>51</v>
      </c>
      <c r="E169" s="145">
        <v>0.15</v>
      </c>
      <c r="F169" s="146">
        <v>9.3200000000000005E-2</v>
      </c>
      <c r="G169" t="str">
        <f t="shared" si="5"/>
        <v>RAMS-12M-More 50-Mortality-0.15</v>
      </c>
    </row>
    <row r="170" spans="1:7" x14ac:dyDescent="0.25">
      <c r="A170" s="143" t="s">
        <v>359</v>
      </c>
      <c r="B170" s="143" t="s">
        <v>364</v>
      </c>
      <c r="C170" s="143" t="s">
        <v>366</v>
      </c>
      <c r="D170" s="144" t="s">
        <v>51</v>
      </c>
      <c r="E170" s="145">
        <v>0.2</v>
      </c>
      <c r="F170" s="146">
        <v>8.7800000000000003E-2</v>
      </c>
      <c r="G170" t="str">
        <f t="shared" si="5"/>
        <v>RAMS-12M-More 50-Mortality-0.2</v>
      </c>
    </row>
    <row r="171" spans="1:7" x14ac:dyDescent="0.25">
      <c r="A171" s="143" t="s">
        <v>359</v>
      </c>
      <c r="B171" s="143" t="s">
        <v>364</v>
      </c>
      <c r="C171" s="143" t="s">
        <v>366</v>
      </c>
      <c r="D171" s="144" t="s">
        <v>51</v>
      </c>
      <c r="E171" s="145">
        <v>0.25</v>
      </c>
      <c r="F171" s="146">
        <v>8.2299999999999998E-2</v>
      </c>
      <c r="G171" t="str">
        <f t="shared" si="5"/>
        <v>RAMS-12M-More 50-Mortality-0.25</v>
      </c>
    </row>
    <row r="172" spans="1:7" x14ac:dyDescent="0.25">
      <c r="A172" s="143" t="s">
        <v>359</v>
      </c>
      <c r="B172" s="143" t="s">
        <v>365</v>
      </c>
      <c r="C172" s="143" t="s">
        <v>367</v>
      </c>
      <c r="D172" s="144" t="s">
        <v>378</v>
      </c>
      <c r="E172" s="145">
        <v>0</v>
      </c>
      <c r="F172" s="146">
        <v>0.11849999999999999</v>
      </c>
      <c r="G172" t="str">
        <f t="shared" si="5"/>
        <v>RAMS-6M-Less 50-Loss of Use Accident &amp; Illness-0</v>
      </c>
    </row>
    <row r="173" spans="1:7" x14ac:dyDescent="0.25">
      <c r="A173" s="143" t="s">
        <v>359</v>
      </c>
      <c r="B173" s="143" t="s">
        <v>365</v>
      </c>
      <c r="C173" s="143" t="s">
        <v>367</v>
      </c>
      <c r="D173" s="144" t="s">
        <v>378</v>
      </c>
      <c r="E173" s="145">
        <v>0.1</v>
      </c>
      <c r="F173" s="146">
        <v>0.1066</v>
      </c>
      <c r="G173" t="str">
        <f t="shared" si="5"/>
        <v>RAMS-6M-Less 50-Loss of Use Accident &amp; Illness-0.1</v>
      </c>
    </row>
    <row r="174" spans="1:7" x14ac:dyDescent="0.25">
      <c r="A174" s="143" t="s">
        <v>359</v>
      </c>
      <c r="B174" s="143" t="s">
        <v>365</v>
      </c>
      <c r="C174" s="143" t="s">
        <v>367</v>
      </c>
      <c r="D174" s="144" t="s">
        <v>378</v>
      </c>
      <c r="E174" s="145">
        <v>0.15</v>
      </c>
      <c r="F174" s="146">
        <v>0.1007</v>
      </c>
      <c r="G174" t="str">
        <f t="shared" si="5"/>
        <v>RAMS-6M-Less 50-Loss of Use Accident &amp; Illness-0.15</v>
      </c>
    </row>
    <row r="175" spans="1:7" x14ac:dyDescent="0.25">
      <c r="A175" s="143" t="s">
        <v>359</v>
      </c>
      <c r="B175" s="143" t="s">
        <v>365</v>
      </c>
      <c r="C175" s="143" t="s">
        <v>367</v>
      </c>
      <c r="D175" s="144" t="s">
        <v>378</v>
      </c>
      <c r="E175" s="145">
        <v>0.2</v>
      </c>
      <c r="F175" s="146">
        <v>9.4799999999999995E-2</v>
      </c>
      <c r="G175" t="str">
        <f t="shared" si="5"/>
        <v>RAMS-6M-Less 50-Loss of Use Accident &amp; Illness-0.2</v>
      </c>
    </row>
    <row r="176" spans="1:7" x14ac:dyDescent="0.25">
      <c r="A176" s="143" t="s">
        <v>359</v>
      </c>
      <c r="B176" s="143" t="s">
        <v>365</v>
      </c>
      <c r="C176" s="143" t="s">
        <v>367</v>
      </c>
      <c r="D176" s="144" t="s">
        <v>378</v>
      </c>
      <c r="E176" s="145">
        <v>0.25</v>
      </c>
      <c r="F176" s="146">
        <v>8.8800000000000004E-2</v>
      </c>
      <c r="G176" t="str">
        <f t="shared" si="5"/>
        <v>RAMS-6M-Less 50-Loss of Use Accident &amp; Illness-0.25</v>
      </c>
    </row>
    <row r="177" spans="1:7" x14ac:dyDescent="0.25">
      <c r="A177" s="143" t="s">
        <v>359</v>
      </c>
      <c r="B177" s="143" t="s">
        <v>365</v>
      </c>
      <c r="C177" s="143" t="s">
        <v>367</v>
      </c>
      <c r="D177" s="144" t="s">
        <v>339</v>
      </c>
      <c r="E177" s="145">
        <v>0</v>
      </c>
      <c r="F177" s="146">
        <v>9.8699999999999996E-2</v>
      </c>
      <c r="G177" t="str">
        <f t="shared" si="5"/>
        <v>RAMS-6M-Less 50-Loss of Use Accident-0</v>
      </c>
    </row>
    <row r="178" spans="1:7" x14ac:dyDescent="0.25">
      <c r="A178" s="143" t="s">
        <v>359</v>
      </c>
      <c r="B178" s="143" t="s">
        <v>365</v>
      </c>
      <c r="C178" s="143" t="s">
        <v>367</v>
      </c>
      <c r="D178" s="144" t="s">
        <v>339</v>
      </c>
      <c r="E178" s="145">
        <v>0.1</v>
      </c>
      <c r="F178" s="146">
        <v>8.8800000000000004E-2</v>
      </c>
      <c r="G178" t="str">
        <f t="shared" si="5"/>
        <v>RAMS-6M-Less 50-Loss of Use Accident-0.1</v>
      </c>
    </row>
    <row r="179" spans="1:7" x14ac:dyDescent="0.25">
      <c r="A179" s="143" t="s">
        <v>359</v>
      </c>
      <c r="B179" s="143" t="s">
        <v>365</v>
      </c>
      <c r="C179" s="143" t="s">
        <v>367</v>
      </c>
      <c r="D179" s="144" t="s">
        <v>339</v>
      </c>
      <c r="E179" s="145">
        <v>0.15</v>
      </c>
      <c r="F179" s="146">
        <v>8.3900000000000002E-2</v>
      </c>
      <c r="G179" t="str">
        <f t="shared" si="5"/>
        <v>RAMS-6M-Less 50-Loss of Use Accident-0.15</v>
      </c>
    </row>
    <row r="180" spans="1:7" x14ac:dyDescent="0.25">
      <c r="A180" s="143" t="s">
        <v>359</v>
      </c>
      <c r="B180" s="143" t="s">
        <v>365</v>
      </c>
      <c r="C180" s="143" t="s">
        <v>367</v>
      </c>
      <c r="D180" s="144" t="s">
        <v>339</v>
      </c>
      <c r="E180" s="145">
        <v>0.2</v>
      </c>
      <c r="F180" s="146">
        <v>7.9000000000000001E-2</v>
      </c>
      <c r="G180" t="str">
        <f t="shared" si="5"/>
        <v>RAMS-6M-Less 50-Loss of Use Accident-0.2</v>
      </c>
    </row>
    <row r="181" spans="1:7" x14ac:dyDescent="0.25">
      <c r="A181" s="143" t="s">
        <v>359</v>
      </c>
      <c r="B181" s="143" t="s">
        <v>365</v>
      </c>
      <c r="C181" s="143" t="s">
        <v>367</v>
      </c>
      <c r="D181" s="144" t="s">
        <v>339</v>
      </c>
      <c r="E181" s="145">
        <v>0.25</v>
      </c>
      <c r="F181" s="146">
        <v>7.3999999999999996E-2</v>
      </c>
      <c r="G181" t="str">
        <f t="shared" si="5"/>
        <v>RAMS-6M-Less 50-Loss of Use Accident-0.25</v>
      </c>
    </row>
    <row r="182" spans="1:7" x14ac:dyDescent="0.25">
      <c r="A182" s="143" t="s">
        <v>359</v>
      </c>
      <c r="B182" s="143" t="s">
        <v>365</v>
      </c>
      <c r="C182" s="143" t="s">
        <v>367</v>
      </c>
      <c r="D182" s="144" t="s">
        <v>51</v>
      </c>
      <c r="E182" s="145">
        <v>0</v>
      </c>
      <c r="F182" s="146">
        <v>5.9200000000000003E-2</v>
      </c>
      <c r="G182" t="str">
        <f t="shared" si="5"/>
        <v>RAMS-6M-Less 50-Mortality-0</v>
      </c>
    </row>
    <row r="183" spans="1:7" x14ac:dyDescent="0.25">
      <c r="A183" s="143" t="s">
        <v>359</v>
      </c>
      <c r="B183" s="143" t="s">
        <v>365</v>
      </c>
      <c r="C183" s="143" t="s">
        <v>367</v>
      </c>
      <c r="D183" s="144" t="s">
        <v>51</v>
      </c>
      <c r="E183" s="145">
        <v>0.1</v>
      </c>
      <c r="F183" s="146">
        <v>5.33E-2</v>
      </c>
      <c r="G183" t="str">
        <f t="shared" si="5"/>
        <v>RAMS-6M-Less 50-Mortality-0.1</v>
      </c>
    </row>
    <row r="184" spans="1:7" x14ac:dyDescent="0.25">
      <c r="A184" s="143" t="s">
        <v>359</v>
      </c>
      <c r="B184" s="143" t="s">
        <v>365</v>
      </c>
      <c r="C184" s="143" t="s">
        <v>367</v>
      </c>
      <c r="D184" s="144" t="s">
        <v>51</v>
      </c>
      <c r="E184" s="145">
        <v>0.15</v>
      </c>
      <c r="F184" s="146">
        <v>5.0299999999999997E-2</v>
      </c>
      <c r="G184" t="str">
        <f t="shared" si="5"/>
        <v>RAMS-6M-Less 50-Mortality-0.15</v>
      </c>
    </row>
    <row r="185" spans="1:7" x14ac:dyDescent="0.25">
      <c r="A185" s="143" t="s">
        <v>359</v>
      </c>
      <c r="B185" s="143" t="s">
        <v>365</v>
      </c>
      <c r="C185" s="143" t="s">
        <v>367</v>
      </c>
      <c r="D185" s="144" t="s">
        <v>51</v>
      </c>
      <c r="E185" s="145">
        <v>0.2</v>
      </c>
      <c r="F185" s="146">
        <v>4.7399999999999998E-2</v>
      </c>
      <c r="G185" t="str">
        <f t="shared" si="5"/>
        <v>RAMS-6M-Less 50-Mortality-0.2</v>
      </c>
    </row>
    <row r="186" spans="1:7" x14ac:dyDescent="0.25">
      <c r="A186" s="143" t="s">
        <v>359</v>
      </c>
      <c r="B186" s="143" t="s">
        <v>365</v>
      </c>
      <c r="C186" s="143" t="s">
        <v>367</v>
      </c>
      <c r="D186" s="144" t="s">
        <v>51</v>
      </c>
      <c r="E186" s="145">
        <v>0.25</v>
      </c>
      <c r="F186" s="146">
        <v>4.4400000000000002E-2</v>
      </c>
      <c r="G186" t="str">
        <f t="shared" si="5"/>
        <v>RAMS-6M-Less 50-Mortality-0.25</v>
      </c>
    </row>
    <row r="187" spans="1:7" x14ac:dyDescent="0.25">
      <c r="A187" s="143" t="s">
        <v>359</v>
      </c>
      <c r="B187" s="143" t="s">
        <v>365</v>
      </c>
      <c r="C187" s="143" t="s">
        <v>366</v>
      </c>
      <c r="D187" s="144" t="s">
        <v>378</v>
      </c>
      <c r="E187" s="145">
        <v>0</v>
      </c>
      <c r="F187" s="146">
        <v>0.13159999999999999</v>
      </c>
      <c r="G187" t="str">
        <f t="shared" si="5"/>
        <v>RAMS-6M-More 50-Loss of Use Accident &amp; Illness-0</v>
      </c>
    </row>
    <row r="188" spans="1:7" x14ac:dyDescent="0.25">
      <c r="A188" s="143" t="s">
        <v>359</v>
      </c>
      <c r="B188" s="143" t="s">
        <v>365</v>
      </c>
      <c r="C188" s="143" t="s">
        <v>366</v>
      </c>
      <c r="D188" s="144" t="s">
        <v>378</v>
      </c>
      <c r="E188" s="145">
        <v>0.1</v>
      </c>
      <c r="F188" s="146">
        <v>0.11849999999999999</v>
      </c>
      <c r="G188" t="str">
        <f t="shared" si="5"/>
        <v>RAMS-6M-More 50-Loss of Use Accident &amp; Illness-0.1</v>
      </c>
    </row>
    <row r="189" spans="1:7" x14ac:dyDescent="0.25">
      <c r="A189" s="143" t="s">
        <v>359</v>
      </c>
      <c r="B189" s="143" t="s">
        <v>365</v>
      </c>
      <c r="C189" s="143" t="s">
        <v>366</v>
      </c>
      <c r="D189" s="144" t="s">
        <v>378</v>
      </c>
      <c r="E189" s="145">
        <v>0.15</v>
      </c>
      <c r="F189" s="146">
        <v>0.1119</v>
      </c>
      <c r="G189" t="str">
        <f t="shared" si="5"/>
        <v>RAMS-6M-More 50-Loss of Use Accident &amp; Illness-0.15</v>
      </c>
    </row>
    <row r="190" spans="1:7" x14ac:dyDescent="0.25">
      <c r="A190" s="143" t="s">
        <v>359</v>
      </c>
      <c r="B190" s="143" t="s">
        <v>365</v>
      </c>
      <c r="C190" s="143" t="s">
        <v>366</v>
      </c>
      <c r="D190" s="144" t="s">
        <v>378</v>
      </c>
      <c r="E190" s="145">
        <v>0.2</v>
      </c>
      <c r="F190" s="146">
        <v>0.1053</v>
      </c>
      <c r="G190" t="str">
        <f t="shared" si="5"/>
        <v>RAMS-6M-More 50-Loss of Use Accident &amp; Illness-0.2</v>
      </c>
    </row>
    <row r="191" spans="1:7" x14ac:dyDescent="0.25">
      <c r="A191" s="143" t="s">
        <v>359</v>
      </c>
      <c r="B191" s="143" t="s">
        <v>365</v>
      </c>
      <c r="C191" s="143" t="s">
        <v>366</v>
      </c>
      <c r="D191" s="144" t="s">
        <v>378</v>
      </c>
      <c r="E191" s="145">
        <v>0.25</v>
      </c>
      <c r="F191" s="146">
        <v>9.8699999999999996E-2</v>
      </c>
      <c r="G191" t="str">
        <f t="shared" si="5"/>
        <v>RAMS-6M-More 50-Loss of Use Accident &amp; Illness-0.25</v>
      </c>
    </row>
    <row r="192" spans="1:7" x14ac:dyDescent="0.25">
      <c r="A192" s="143" t="s">
        <v>359</v>
      </c>
      <c r="B192" s="143" t="s">
        <v>365</v>
      </c>
      <c r="C192" s="143" t="s">
        <v>366</v>
      </c>
      <c r="D192" s="144" t="s">
        <v>339</v>
      </c>
      <c r="E192" s="145">
        <v>0</v>
      </c>
      <c r="F192" s="146">
        <v>0.10970000000000001</v>
      </c>
      <c r="G192" t="str">
        <f t="shared" si="5"/>
        <v>RAMS-6M-More 50-Loss of Use Accident-0</v>
      </c>
    </row>
    <row r="193" spans="1:7" x14ac:dyDescent="0.25">
      <c r="A193" s="143" t="s">
        <v>359</v>
      </c>
      <c r="B193" s="143" t="s">
        <v>365</v>
      </c>
      <c r="C193" s="143" t="s">
        <v>366</v>
      </c>
      <c r="D193" s="144" t="s">
        <v>339</v>
      </c>
      <c r="E193" s="145">
        <v>0.1</v>
      </c>
      <c r="F193" s="146">
        <v>9.8699999999999996E-2</v>
      </c>
      <c r="G193" t="str">
        <f t="shared" si="5"/>
        <v>RAMS-6M-More 50-Loss of Use Accident-0.1</v>
      </c>
    </row>
    <row r="194" spans="1:7" x14ac:dyDescent="0.25">
      <c r="A194" s="143" t="s">
        <v>359</v>
      </c>
      <c r="B194" s="143" t="s">
        <v>365</v>
      </c>
      <c r="C194" s="143" t="s">
        <v>366</v>
      </c>
      <c r="D194" s="144" t="s">
        <v>339</v>
      </c>
      <c r="E194" s="145">
        <v>0.15</v>
      </c>
      <c r="F194" s="146">
        <v>9.3200000000000005E-2</v>
      </c>
      <c r="G194" t="str">
        <f t="shared" ref="G194:G201" si="6">CONCATENATE(A194,"-",B194,"-",C194,"-",D194,"-",E194)</f>
        <v>RAMS-6M-More 50-Loss of Use Accident-0.15</v>
      </c>
    </row>
    <row r="195" spans="1:7" x14ac:dyDescent="0.25">
      <c r="A195" s="143" t="s">
        <v>359</v>
      </c>
      <c r="B195" s="143" t="s">
        <v>365</v>
      </c>
      <c r="C195" s="143" t="s">
        <v>366</v>
      </c>
      <c r="D195" s="144" t="s">
        <v>339</v>
      </c>
      <c r="E195" s="145">
        <v>0.2</v>
      </c>
      <c r="F195" s="146">
        <v>8.7800000000000003E-2</v>
      </c>
      <c r="G195" t="str">
        <f t="shared" si="6"/>
        <v>RAMS-6M-More 50-Loss of Use Accident-0.2</v>
      </c>
    </row>
    <row r="196" spans="1:7" x14ac:dyDescent="0.25">
      <c r="A196" s="143" t="s">
        <v>359</v>
      </c>
      <c r="B196" s="143" t="s">
        <v>365</v>
      </c>
      <c r="C196" s="143" t="s">
        <v>366</v>
      </c>
      <c r="D196" s="144" t="s">
        <v>339</v>
      </c>
      <c r="E196" s="145">
        <v>0.25</v>
      </c>
      <c r="F196" s="146">
        <v>8.2299999999999998E-2</v>
      </c>
      <c r="G196" t="str">
        <f t="shared" si="6"/>
        <v>RAMS-6M-More 50-Loss of Use Accident-0.25</v>
      </c>
    </row>
    <row r="197" spans="1:7" x14ac:dyDescent="0.25">
      <c r="A197" s="143" t="s">
        <v>359</v>
      </c>
      <c r="B197" s="143" t="s">
        <v>365</v>
      </c>
      <c r="C197" s="143" t="s">
        <v>366</v>
      </c>
      <c r="D197" s="144" t="s">
        <v>51</v>
      </c>
      <c r="E197" s="145">
        <v>0</v>
      </c>
      <c r="F197" s="146">
        <v>6.5799999999999997E-2</v>
      </c>
      <c r="G197" t="str">
        <f t="shared" si="6"/>
        <v>RAMS-6M-More 50-Mortality-0</v>
      </c>
    </row>
    <row r="198" spans="1:7" x14ac:dyDescent="0.25">
      <c r="A198" s="143" t="s">
        <v>359</v>
      </c>
      <c r="B198" s="143" t="s">
        <v>365</v>
      </c>
      <c r="C198" s="143" t="s">
        <v>366</v>
      </c>
      <c r="D198" s="144" t="s">
        <v>51</v>
      </c>
      <c r="E198" s="145">
        <v>0.1</v>
      </c>
      <c r="F198" s="146">
        <v>5.9200000000000003E-2</v>
      </c>
      <c r="G198" t="str">
        <f t="shared" si="6"/>
        <v>RAMS-6M-More 50-Mortality-0.1</v>
      </c>
    </row>
    <row r="199" spans="1:7" x14ac:dyDescent="0.25">
      <c r="A199" s="143" t="s">
        <v>359</v>
      </c>
      <c r="B199" s="143" t="s">
        <v>365</v>
      </c>
      <c r="C199" s="143" t="s">
        <v>366</v>
      </c>
      <c r="D199" s="144" t="s">
        <v>51</v>
      </c>
      <c r="E199" s="145">
        <v>0.15</v>
      </c>
      <c r="F199" s="146">
        <v>5.5899999999999998E-2</v>
      </c>
      <c r="G199" t="str">
        <f t="shared" si="6"/>
        <v>RAMS-6M-More 50-Mortality-0.15</v>
      </c>
    </row>
    <row r="200" spans="1:7" x14ac:dyDescent="0.25">
      <c r="A200" s="143" t="s">
        <v>359</v>
      </c>
      <c r="B200" s="143" t="s">
        <v>365</v>
      </c>
      <c r="C200" s="143" t="s">
        <v>366</v>
      </c>
      <c r="D200" s="144" t="s">
        <v>51</v>
      </c>
      <c r="E200" s="145">
        <v>0.2</v>
      </c>
      <c r="F200" s="146">
        <v>5.2699999999999997E-2</v>
      </c>
      <c r="G200" t="str">
        <f t="shared" si="6"/>
        <v>RAMS-6M-More 50-Mortality-0.2</v>
      </c>
    </row>
    <row r="201" spans="1:7" x14ac:dyDescent="0.25">
      <c r="A201" s="143" t="s">
        <v>359</v>
      </c>
      <c r="B201" s="143" t="s">
        <v>365</v>
      </c>
      <c r="C201" s="143" t="s">
        <v>366</v>
      </c>
      <c r="D201" s="144" t="s">
        <v>51</v>
      </c>
      <c r="E201" s="145">
        <v>0.25</v>
      </c>
      <c r="F201" s="146">
        <v>4.9399999999999999E-2</v>
      </c>
      <c r="G201" t="str">
        <f t="shared" si="6"/>
        <v>RAMS-6M-More 50-Mortality-0.25</v>
      </c>
    </row>
  </sheetData>
  <autoFilter ref="A1:R201" xr:uid="{79347406-C352-447F-A5E1-0DF336811ACB}">
    <sortState xmlns:xlrd2="http://schemas.microsoft.com/office/spreadsheetml/2017/richdata2" ref="A2:G201">
      <sortCondition ref="G1:G182"/>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6CAB7-6C60-4489-BFFC-AAB427A39252}">
  <dimension ref="A1:P42"/>
  <sheetViews>
    <sheetView workbookViewId="0">
      <selection activeCell="L17" sqref="L17"/>
    </sheetView>
  </sheetViews>
  <sheetFormatPr defaultColWidth="9.140625" defaultRowHeight="15.75" x14ac:dyDescent="0.25"/>
  <cols>
    <col min="1" max="1" width="18.5703125" style="101" customWidth="1"/>
    <col min="2" max="2" width="9.42578125" style="101" customWidth="1"/>
    <col min="3" max="3" width="2.28515625" style="101" customWidth="1"/>
    <col min="4" max="5" width="12.140625" style="101" customWidth="1"/>
    <col min="6" max="6" width="18" style="101" customWidth="1"/>
    <col min="7" max="7" width="12.28515625" style="101" customWidth="1"/>
    <col min="8" max="8" width="3.42578125" style="101" customWidth="1"/>
    <col min="9" max="9" width="2.42578125" style="101" customWidth="1"/>
    <col min="10" max="16384" width="9.140625" style="101"/>
  </cols>
  <sheetData>
    <row r="1" spans="1:12" x14ac:dyDescent="0.25">
      <c r="A1" s="586" t="s">
        <v>290</v>
      </c>
      <c r="B1" s="567"/>
      <c r="C1" s="587"/>
      <c r="D1" s="589" t="s">
        <v>291</v>
      </c>
      <c r="E1" s="587"/>
      <c r="F1" s="591" t="s">
        <v>292</v>
      </c>
      <c r="G1" s="592"/>
      <c r="H1" s="592"/>
      <c r="I1" s="593"/>
    </row>
    <row r="2" spans="1:12" x14ac:dyDescent="0.25">
      <c r="A2" s="569"/>
      <c r="B2" s="570"/>
      <c r="C2" s="588"/>
      <c r="D2" s="590"/>
      <c r="E2" s="588"/>
      <c r="F2" s="102" t="s">
        <v>293</v>
      </c>
      <c r="G2" s="594" t="s">
        <v>294</v>
      </c>
      <c r="H2" s="595"/>
      <c r="I2" s="596"/>
    </row>
    <row r="3" spans="1:12" x14ac:dyDescent="0.25">
      <c r="A3" s="597" t="s">
        <v>295</v>
      </c>
      <c r="B3" s="598"/>
      <c r="C3" s="599"/>
      <c r="D3" s="603" t="s">
        <v>296</v>
      </c>
      <c r="E3" s="604"/>
      <c r="F3" s="103">
        <v>4.7100000000000003E-2</v>
      </c>
      <c r="G3" s="605">
        <v>5.8900000000000001E-2</v>
      </c>
      <c r="H3" s="606"/>
      <c r="I3" s="607"/>
    </row>
    <row r="4" spans="1:12" x14ac:dyDescent="0.25">
      <c r="A4" s="600"/>
      <c r="B4" s="601"/>
      <c r="C4" s="602"/>
      <c r="D4" s="575" t="s">
        <v>297</v>
      </c>
      <c r="E4" s="574"/>
      <c r="F4" s="104">
        <v>0.114</v>
      </c>
      <c r="G4" s="576">
        <v>0.14249999999999999</v>
      </c>
      <c r="H4" s="577"/>
      <c r="I4" s="578"/>
    </row>
    <row r="5" spans="1:12" x14ac:dyDescent="0.25">
      <c r="A5" s="572" t="s">
        <v>298</v>
      </c>
      <c r="B5" s="573"/>
      <c r="C5" s="574"/>
      <c r="D5" s="575" t="s">
        <v>296</v>
      </c>
      <c r="E5" s="574"/>
      <c r="F5" s="104">
        <v>0.05</v>
      </c>
      <c r="G5" s="576">
        <v>7.3999999999999996E-2</v>
      </c>
      <c r="H5" s="577"/>
      <c r="I5" s="578"/>
    </row>
    <row r="6" spans="1:12" x14ac:dyDescent="0.25">
      <c r="A6" s="572" t="s">
        <v>299</v>
      </c>
      <c r="B6" s="573"/>
      <c r="C6" s="574"/>
      <c r="D6" s="575" t="s">
        <v>296</v>
      </c>
      <c r="E6" s="574"/>
      <c r="F6" s="104">
        <v>8.4500000000000006E-2</v>
      </c>
      <c r="G6" s="576">
        <v>0.128</v>
      </c>
      <c r="H6" s="577"/>
      <c r="I6" s="578"/>
    </row>
    <row r="7" spans="1:12" x14ac:dyDescent="0.25">
      <c r="A7" s="572" t="s">
        <v>300</v>
      </c>
      <c r="B7" s="573"/>
      <c r="C7" s="574"/>
      <c r="D7" s="575" t="s">
        <v>296</v>
      </c>
      <c r="E7" s="574"/>
      <c r="F7" s="104">
        <v>0.10150000000000001</v>
      </c>
      <c r="G7" s="576">
        <v>0.14849999999999999</v>
      </c>
      <c r="H7" s="577"/>
      <c r="I7" s="578"/>
    </row>
    <row r="8" spans="1:12" ht="16.5" thickBot="1" x14ac:dyDescent="0.3">
      <c r="A8" s="579" t="s">
        <v>301</v>
      </c>
      <c r="B8" s="580"/>
      <c r="C8" s="581"/>
      <c r="D8" s="582" t="s">
        <v>302</v>
      </c>
      <c r="E8" s="581"/>
      <c r="F8" s="122">
        <v>4.4999999999999997E-3</v>
      </c>
      <c r="G8" s="583">
        <v>7.0000000000000001E-3</v>
      </c>
      <c r="H8" s="584"/>
      <c r="I8" s="585"/>
    </row>
    <row r="9" spans="1:12" x14ac:dyDescent="0.25">
      <c r="A9" s="109"/>
      <c r="B9" s="110"/>
      <c r="C9" s="110"/>
      <c r="D9" s="110"/>
      <c r="E9" s="110"/>
      <c r="F9" s="110"/>
      <c r="G9" s="110"/>
      <c r="H9" s="110"/>
      <c r="I9" s="111"/>
    </row>
    <row r="10" spans="1:12" x14ac:dyDescent="0.25">
      <c r="A10" s="118" t="s">
        <v>270</v>
      </c>
      <c r="B10" s="113"/>
      <c r="C10" s="113"/>
      <c r="D10" s="113"/>
      <c r="E10" s="113"/>
      <c r="F10" s="113"/>
      <c r="G10" s="113"/>
      <c r="H10" s="113"/>
      <c r="I10" s="114"/>
    </row>
    <row r="11" spans="1:12" x14ac:dyDescent="0.25">
      <c r="A11" s="118" t="s">
        <v>277</v>
      </c>
      <c r="B11" s="113"/>
      <c r="C11" s="113"/>
      <c r="D11" s="113"/>
      <c r="E11" s="113"/>
      <c r="F11" s="113"/>
      <c r="G11" s="113"/>
      <c r="H11" s="113"/>
      <c r="I11" s="114"/>
    </row>
    <row r="12" spans="1:12" x14ac:dyDescent="0.25">
      <c r="A12" s="118" t="s">
        <v>311</v>
      </c>
      <c r="B12" s="113"/>
      <c r="C12" s="113"/>
      <c r="D12" s="113"/>
      <c r="E12" s="113"/>
      <c r="F12" s="113"/>
      <c r="G12" s="113"/>
      <c r="H12" s="113"/>
      <c r="I12" s="114"/>
    </row>
    <row r="13" spans="1:12" ht="16.5" thickBot="1" x14ac:dyDescent="0.3">
      <c r="A13" s="119"/>
      <c r="B13" s="120"/>
      <c r="C13" s="120"/>
      <c r="D13" s="120"/>
      <c r="E13" s="120"/>
      <c r="F13" s="120"/>
      <c r="G13" s="120"/>
      <c r="H13" s="120"/>
      <c r="I13" s="121"/>
    </row>
    <row r="14" spans="1:12" ht="16.5" customHeight="1" x14ac:dyDescent="0.25">
      <c r="A14" s="566" t="s">
        <v>271</v>
      </c>
      <c r="B14" s="567"/>
      <c r="C14" s="568"/>
      <c r="D14" s="524" t="s">
        <v>286</v>
      </c>
      <c r="E14" s="525"/>
      <c r="F14" s="525"/>
      <c r="G14" s="525"/>
      <c r="H14" s="525"/>
      <c r="I14" s="526"/>
    </row>
    <row r="15" spans="1:12" ht="15.75" customHeight="1" x14ac:dyDescent="0.25">
      <c r="A15" s="569"/>
      <c r="B15" s="570"/>
      <c r="C15" s="571"/>
      <c r="D15" s="527"/>
      <c r="E15" s="528"/>
      <c r="F15" s="528"/>
      <c r="G15" s="528"/>
      <c r="H15" s="528"/>
      <c r="I15" s="529"/>
    </row>
    <row r="16" spans="1:12" x14ac:dyDescent="0.25">
      <c r="A16" s="105" t="s">
        <v>11</v>
      </c>
      <c r="B16" s="517">
        <v>0</v>
      </c>
      <c r="C16" s="518"/>
      <c r="D16" s="551" t="s">
        <v>279</v>
      </c>
      <c r="E16" s="552"/>
      <c r="F16" s="553"/>
      <c r="G16" s="530"/>
      <c r="H16" s="531"/>
      <c r="I16" s="532"/>
      <c r="L16" s="106"/>
    </row>
    <row r="17" spans="1:16" ht="16.5" customHeight="1" x14ac:dyDescent="0.25">
      <c r="A17" s="105" t="s">
        <v>10</v>
      </c>
      <c r="B17" s="517">
        <v>0</v>
      </c>
      <c r="C17" s="518"/>
      <c r="D17" s="554" t="s">
        <v>285</v>
      </c>
      <c r="E17" s="555"/>
      <c r="F17" s="556"/>
      <c r="G17" s="533"/>
      <c r="H17" s="534"/>
      <c r="I17" s="535"/>
    </row>
    <row r="18" spans="1:16" x14ac:dyDescent="0.25">
      <c r="A18" s="105" t="s">
        <v>15</v>
      </c>
      <c r="B18" s="517">
        <v>0</v>
      </c>
      <c r="C18" s="518"/>
      <c r="D18" s="551"/>
      <c r="E18" s="552"/>
      <c r="F18" s="553"/>
      <c r="G18" s="536"/>
      <c r="H18" s="537"/>
      <c r="I18" s="538"/>
    </row>
    <row r="19" spans="1:16" x14ac:dyDescent="0.25">
      <c r="A19" s="105" t="s">
        <v>12</v>
      </c>
      <c r="B19" s="517">
        <v>0.09</v>
      </c>
      <c r="C19" s="518"/>
      <c r="D19" s="557" t="s">
        <v>280</v>
      </c>
      <c r="E19" s="558"/>
      <c r="F19" s="559"/>
      <c r="G19" s="539"/>
      <c r="H19" s="540"/>
      <c r="I19" s="541"/>
    </row>
    <row r="20" spans="1:16" ht="16.5" customHeight="1" x14ac:dyDescent="0.25">
      <c r="A20" s="105" t="s">
        <v>14</v>
      </c>
      <c r="B20" s="517">
        <v>0.1</v>
      </c>
      <c r="C20" s="518"/>
      <c r="D20" s="557" t="s">
        <v>281</v>
      </c>
      <c r="E20" s="558"/>
      <c r="F20" s="559"/>
      <c r="G20" s="542"/>
      <c r="H20" s="543"/>
      <c r="I20" s="544"/>
    </row>
    <row r="21" spans="1:16" x14ac:dyDescent="0.25">
      <c r="A21" s="105" t="s">
        <v>45</v>
      </c>
      <c r="B21" s="517">
        <v>0.11</v>
      </c>
      <c r="C21" s="518"/>
      <c r="D21" s="560" t="s">
        <v>282</v>
      </c>
      <c r="E21" s="561"/>
      <c r="F21" s="562"/>
      <c r="G21" s="539"/>
      <c r="H21" s="540"/>
      <c r="I21" s="541"/>
    </row>
    <row r="22" spans="1:16" x14ac:dyDescent="0.25">
      <c r="A22" s="105" t="s">
        <v>13</v>
      </c>
      <c r="B22" s="517">
        <v>0.1</v>
      </c>
      <c r="C22" s="518"/>
      <c r="D22" s="563" t="s">
        <v>330</v>
      </c>
      <c r="E22" s="564"/>
      <c r="F22" s="565"/>
      <c r="G22" s="545">
        <v>82.5</v>
      </c>
      <c r="H22" s="546"/>
      <c r="I22" s="547"/>
      <c r="P22" s="107"/>
    </row>
    <row r="23" spans="1:16" ht="16.5" thickBot="1" x14ac:dyDescent="0.3">
      <c r="A23" s="108" t="s">
        <v>16</v>
      </c>
      <c r="B23" s="519">
        <v>0.1</v>
      </c>
      <c r="C23" s="520"/>
      <c r="D23" s="521" t="s">
        <v>283</v>
      </c>
      <c r="E23" s="522"/>
      <c r="F23" s="523"/>
      <c r="G23" s="548" t="s">
        <v>284</v>
      </c>
      <c r="H23" s="549"/>
      <c r="I23" s="550"/>
    </row>
    <row r="24" spans="1:16" x14ac:dyDescent="0.25">
      <c r="A24" s="109"/>
      <c r="B24" s="110"/>
      <c r="C24" s="110"/>
      <c r="D24" s="110"/>
      <c r="E24" s="110"/>
      <c r="F24" s="110"/>
      <c r="G24" s="110"/>
      <c r="H24" s="110"/>
      <c r="I24" s="111"/>
    </row>
    <row r="25" spans="1:16" x14ac:dyDescent="0.25">
      <c r="A25" s="112" t="s">
        <v>103</v>
      </c>
      <c r="B25" s="113"/>
      <c r="C25" s="113"/>
      <c r="D25" s="113"/>
      <c r="E25" s="113"/>
      <c r="F25" s="113"/>
      <c r="G25" s="113"/>
      <c r="H25" s="113"/>
      <c r="I25" s="114"/>
    </row>
    <row r="26" spans="1:16" x14ac:dyDescent="0.25">
      <c r="A26" s="115" t="s">
        <v>287</v>
      </c>
      <c r="B26" s="113"/>
      <c r="C26" s="113"/>
      <c r="D26" s="113"/>
      <c r="E26" s="113"/>
      <c r="F26" s="113"/>
      <c r="G26" s="113"/>
      <c r="H26" s="113"/>
      <c r="I26" s="114"/>
    </row>
    <row r="27" spans="1:16" x14ac:dyDescent="0.25">
      <c r="A27" s="115" t="s">
        <v>288</v>
      </c>
      <c r="B27" s="113"/>
      <c r="C27" s="113"/>
      <c r="D27" s="113"/>
      <c r="E27" s="113"/>
      <c r="F27" s="113"/>
      <c r="G27" s="113"/>
      <c r="H27" s="113"/>
      <c r="I27" s="114"/>
    </row>
    <row r="28" spans="1:16" x14ac:dyDescent="0.25">
      <c r="A28" s="116" t="s">
        <v>106</v>
      </c>
      <c r="B28" s="113"/>
      <c r="C28" s="113"/>
      <c r="D28" s="113"/>
      <c r="E28" s="113"/>
      <c r="F28" s="113"/>
      <c r="G28" s="113"/>
      <c r="H28" s="113"/>
      <c r="I28" s="114"/>
    </row>
    <row r="29" spans="1:16" x14ac:dyDescent="0.25">
      <c r="A29" s="115" t="s">
        <v>278</v>
      </c>
      <c r="B29" s="113"/>
      <c r="C29" s="113"/>
      <c r="D29" s="113"/>
      <c r="E29" s="113"/>
      <c r="F29" s="113"/>
      <c r="G29" s="113"/>
      <c r="H29" s="113"/>
      <c r="I29" s="114"/>
    </row>
    <row r="30" spans="1:16" x14ac:dyDescent="0.25">
      <c r="A30" s="116" t="s">
        <v>109</v>
      </c>
      <c r="B30" s="113"/>
      <c r="C30" s="113"/>
      <c r="D30" s="113"/>
      <c r="E30" s="113"/>
      <c r="F30" s="113"/>
      <c r="G30" s="113"/>
      <c r="H30" s="113"/>
      <c r="I30" s="114"/>
    </row>
    <row r="31" spans="1:16" x14ac:dyDescent="0.25">
      <c r="A31" s="115" t="s">
        <v>303</v>
      </c>
      <c r="B31" s="113"/>
      <c r="C31" s="113"/>
      <c r="D31" s="113"/>
      <c r="E31" s="113"/>
      <c r="F31" s="113"/>
      <c r="G31" s="113"/>
      <c r="H31" s="113"/>
      <c r="I31" s="114"/>
    </row>
    <row r="32" spans="1:16" x14ac:dyDescent="0.25">
      <c r="A32" s="115" t="s">
        <v>304</v>
      </c>
      <c r="B32" s="113"/>
      <c r="C32" s="113"/>
      <c r="D32" s="113"/>
      <c r="E32" s="113"/>
      <c r="F32" s="113"/>
      <c r="G32" s="113"/>
      <c r="H32" s="113"/>
      <c r="I32" s="114"/>
    </row>
    <row r="33" spans="1:9" x14ac:dyDescent="0.25">
      <c r="A33" s="116" t="s">
        <v>112</v>
      </c>
      <c r="B33" s="113"/>
      <c r="C33" s="113"/>
      <c r="D33" s="113"/>
      <c r="E33" s="113"/>
      <c r="F33" s="113"/>
      <c r="G33" s="113"/>
      <c r="H33" s="113"/>
      <c r="I33" s="114"/>
    </row>
    <row r="34" spans="1:9" x14ac:dyDescent="0.25">
      <c r="A34" s="115" t="s">
        <v>113</v>
      </c>
      <c r="B34" s="113"/>
      <c r="C34" s="113"/>
      <c r="D34" s="113"/>
      <c r="E34" s="113"/>
      <c r="F34" s="113"/>
      <c r="G34" s="113"/>
      <c r="H34" s="113"/>
      <c r="I34" s="114"/>
    </row>
    <row r="35" spans="1:9" x14ac:dyDescent="0.25">
      <c r="A35" s="115" t="s">
        <v>305</v>
      </c>
      <c r="B35" s="113"/>
      <c r="C35" s="113"/>
      <c r="D35" s="113"/>
      <c r="E35" s="113"/>
      <c r="F35" s="113"/>
      <c r="G35" s="113"/>
      <c r="H35" s="113"/>
      <c r="I35" s="114"/>
    </row>
    <row r="36" spans="1:9" x14ac:dyDescent="0.25">
      <c r="A36" s="115" t="s">
        <v>289</v>
      </c>
      <c r="B36" s="113"/>
      <c r="C36" s="113"/>
      <c r="D36" s="113"/>
      <c r="E36" s="113"/>
      <c r="F36" s="113"/>
      <c r="G36" s="113"/>
      <c r="H36" s="113"/>
      <c r="I36" s="114"/>
    </row>
    <row r="37" spans="1:9" x14ac:dyDescent="0.25">
      <c r="A37" s="116" t="s">
        <v>114</v>
      </c>
      <c r="B37" s="113"/>
      <c r="C37" s="113"/>
      <c r="D37" s="113"/>
      <c r="E37" s="113"/>
      <c r="F37" s="113"/>
      <c r="G37" s="113"/>
      <c r="H37" s="113"/>
      <c r="I37" s="114"/>
    </row>
    <row r="38" spans="1:9" x14ac:dyDescent="0.25">
      <c r="A38" s="117" t="s">
        <v>306</v>
      </c>
      <c r="B38" s="113"/>
      <c r="C38" s="113"/>
      <c r="D38" s="113"/>
      <c r="E38" s="113"/>
      <c r="F38" s="113"/>
      <c r="G38" s="113"/>
      <c r="H38" s="113"/>
      <c r="I38" s="114"/>
    </row>
    <row r="39" spans="1:9" x14ac:dyDescent="0.25">
      <c r="A39" s="117" t="s">
        <v>307</v>
      </c>
      <c r="B39" s="113"/>
      <c r="C39" s="113"/>
      <c r="D39" s="113"/>
      <c r="E39" s="113"/>
      <c r="F39" s="113"/>
      <c r="G39" s="113"/>
      <c r="H39" s="113"/>
      <c r="I39" s="114"/>
    </row>
    <row r="40" spans="1:9" x14ac:dyDescent="0.25">
      <c r="A40" s="118" t="s">
        <v>308</v>
      </c>
      <c r="B40" s="113"/>
      <c r="C40" s="113"/>
      <c r="D40" s="113"/>
      <c r="E40" s="113"/>
      <c r="F40" s="113"/>
      <c r="G40" s="113"/>
      <c r="H40" s="113"/>
      <c r="I40" s="114"/>
    </row>
    <row r="41" spans="1:9" x14ac:dyDescent="0.25">
      <c r="A41" s="118" t="s">
        <v>309</v>
      </c>
      <c r="B41" s="113"/>
      <c r="C41" s="113"/>
      <c r="D41" s="113"/>
      <c r="E41" s="113"/>
      <c r="F41" s="113"/>
      <c r="G41" s="113"/>
      <c r="H41" s="113"/>
      <c r="I41" s="114"/>
    </row>
    <row r="42" spans="1:9" ht="16.5" thickBot="1" x14ac:dyDescent="0.3">
      <c r="A42" s="119"/>
      <c r="B42" s="120"/>
      <c r="C42" s="120"/>
      <c r="D42" s="120"/>
      <c r="E42" s="120"/>
      <c r="F42" s="120"/>
      <c r="G42" s="120"/>
      <c r="H42" s="120"/>
      <c r="I42" s="121"/>
    </row>
  </sheetData>
  <mergeCells count="45">
    <mergeCell ref="A1:C2"/>
    <mergeCell ref="D1:E2"/>
    <mergeCell ref="F1:I1"/>
    <mergeCell ref="G2:I2"/>
    <mergeCell ref="A3:C4"/>
    <mergeCell ref="D3:E3"/>
    <mergeCell ref="G3:I3"/>
    <mergeCell ref="D4:E4"/>
    <mergeCell ref="G4:I4"/>
    <mergeCell ref="A5:C5"/>
    <mergeCell ref="D5:E5"/>
    <mergeCell ref="G5:I5"/>
    <mergeCell ref="A6:C6"/>
    <mergeCell ref="D6:E6"/>
    <mergeCell ref="G6:I6"/>
    <mergeCell ref="A14:C15"/>
    <mergeCell ref="A7:C7"/>
    <mergeCell ref="D7:E7"/>
    <mergeCell ref="G7:I7"/>
    <mergeCell ref="A8:C8"/>
    <mergeCell ref="D8:E8"/>
    <mergeCell ref="G8:I8"/>
    <mergeCell ref="D23:F23"/>
    <mergeCell ref="D14:I15"/>
    <mergeCell ref="G16:I16"/>
    <mergeCell ref="G17:I18"/>
    <mergeCell ref="G19:I19"/>
    <mergeCell ref="G20:I20"/>
    <mergeCell ref="G21:I21"/>
    <mergeCell ref="G22:I22"/>
    <mergeCell ref="G23:I23"/>
    <mergeCell ref="D16:F16"/>
    <mergeCell ref="D17:F18"/>
    <mergeCell ref="D19:F19"/>
    <mergeCell ref="D20:F20"/>
    <mergeCell ref="D21:F21"/>
    <mergeCell ref="D22:F22"/>
    <mergeCell ref="B22:C22"/>
    <mergeCell ref="B23:C23"/>
    <mergeCell ref="B16:C16"/>
    <mergeCell ref="B17:C17"/>
    <mergeCell ref="B18:C18"/>
    <mergeCell ref="B19:C19"/>
    <mergeCell ref="B20:C20"/>
    <mergeCell ref="B21:C21"/>
  </mergeCells>
  <pageMargins left="0.7" right="0.7" top="0.75" bottom="0.75" header="0.3" footer="0.3"/>
  <pageSetup paperSize="9" scale="7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5F7A6-EFCC-4C1D-9FB5-D542A857003B}">
  <dimension ref="A1:T49"/>
  <sheetViews>
    <sheetView workbookViewId="0">
      <selection activeCell="P17" sqref="P17"/>
    </sheetView>
  </sheetViews>
  <sheetFormatPr defaultRowHeight="15" x14ac:dyDescent="0.25"/>
  <cols>
    <col min="2" max="2" width="27.85546875" customWidth="1"/>
    <col min="3" max="3" width="21.140625" style="6" bestFit="1" customWidth="1"/>
    <col min="4" max="4" width="12.7109375" style="6" customWidth="1"/>
    <col min="5" max="5" width="9.7109375" customWidth="1"/>
    <col min="6" max="6" width="21.140625" bestFit="1" customWidth="1"/>
    <col min="7" max="7" width="10.5703125" bestFit="1" customWidth="1"/>
    <col min="8" max="8" width="23.42578125" customWidth="1"/>
    <col min="13" max="13" width="6.42578125" customWidth="1"/>
    <col min="15" max="15" width="22.5703125" bestFit="1" customWidth="1"/>
    <col min="16" max="16" width="41.7109375" bestFit="1" customWidth="1"/>
    <col min="17" max="17" width="38" customWidth="1"/>
  </cols>
  <sheetData>
    <row r="1" spans="1:20" x14ac:dyDescent="0.25">
      <c r="A1" s="3" t="s">
        <v>47</v>
      </c>
      <c r="B1" s="3" t="s">
        <v>57</v>
      </c>
      <c r="C1" s="10" t="s">
        <v>49</v>
      </c>
      <c r="D1" s="10" t="s">
        <v>52</v>
      </c>
      <c r="G1" s="3" t="s">
        <v>47</v>
      </c>
      <c r="H1" s="3" t="s">
        <v>57</v>
      </c>
      <c r="I1" s="10" t="s">
        <v>49</v>
      </c>
      <c r="J1" s="10" t="s">
        <v>52</v>
      </c>
    </row>
    <row r="2" spans="1:20" x14ac:dyDescent="0.25">
      <c r="A2" t="s">
        <v>6</v>
      </c>
      <c r="B2" t="s">
        <v>51</v>
      </c>
      <c r="C2" s="21">
        <v>4.7100000000000003E-2</v>
      </c>
      <c r="D2" s="21">
        <v>5.8900000000000001E-2</v>
      </c>
      <c r="G2" t="s">
        <v>6</v>
      </c>
      <c r="H2" t="s">
        <v>50</v>
      </c>
      <c r="I2" s="22">
        <v>0.114</v>
      </c>
      <c r="J2" s="22">
        <v>0.14249999999999999</v>
      </c>
      <c r="O2" s="8" t="s">
        <v>53</v>
      </c>
      <c r="P2" t="s">
        <v>68</v>
      </c>
      <c r="T2" s="5">
        <v>5.7000000000000002E-2</v>
      </c>
    </row>
    <row r="3" spans="1:20" x14ac:dyDescent="0.25">
      <c r="A3" t="s">
        <v>7</v>
      </c>
      <c r="B3" t="s">
        <v>51</v>
      </c>
      <c r="C3" s="21">
        <v>0.05</v>
      </c>
      <c r="D3" s="21">
        <v>7.3999999999999996E-2</v>
      </c>
      <c r="G3" t="s">
        <v>8</v>
      </c>
      <c r="H3" t="s">
        <v>50</v>
      </c>
      <c r="I3" s="7">
        <v>0.1109</v>
      </c>
      <c r="J3" s="7">
        <v>0.1668</v>
      </c>
      <c r="O3" s="9" t="s">
        <v>54</v>
      </c>
    </row>
    <row r="4" spans="1:20" x14ac:dyDescent="0.25">
      <c r="A4" t="s">
        <v>9</v>
      </c>
      <c r="B4" t="s">
        <v>51</v>
      </c>
      <c r="C4" s="21">
        <v>0.10150000000000001</v>
      </c>
      <c r="D4" s="21">
        <v>0.14849999999999999</v>
      </c>
    </row>
    <row r="5" spans="1:20" x14ac:dyDescent="0.25">
      <c r="A5" t="s">
        <v>8</v>
      </c>
      <c r="B5" t="s">
        <v>51</v>
      </c>
      <c r="C5" s="21">
        <v>8.4500000000000006E-2</v>
      </c>
      <c r="D5" s="21">
        <v>0.128</v>
      </c>
    </row>
    <row r="6" spans="1:20" ht="15.75" thickBot="1" x14ac:dyDescent="0.3">
      <c r="O6" s="1" t="s">
        <v>272</v>
      </c>
    </row>
    <row r="7" spans="1:20" ht="15.75" thickBot="1" x14ac:dyDescent="0.3">
      <c r="B7" s="25" t="s">
        <v>72</v>
      </c>
      <c r="C7" s="26">
        <v>910</v>
      </c>
      <c r="O7" s="96" t="s">
        <v>273</v>
      </c>
      <c r="P7" t="s">
        <v>274</v>
      </c>
      <c r="Q7" t="s">
        <v>275</v>
      </c>
      <c r="R7" t="s">
        <v>276</v>
      </c>
    </row>
    <row r="8" spans="1:20" ht="15.75" thickBot="1" x14ac:dyDescent="0.3">
      <c r="O8" s="96" t="s">
        <v>273</v>
      </c>
      <c r="P8" t="s">
        <v>274</v>
      </c>
      <c r="Q8" t="s">
        <v>275</v>
      </c>
      <c r="R8" t="s">
        <v>276</v>
      </c>
    </row>
    <row r="9" spans="1:20" ht="15.75" thickBot="1" x14ac:dyDescent="0.3">
      <c r="B9" s="11" t="s">
        <v>58</v>
      </c>
      <c r="C9" s="12">
        <v>4.4999999999999997E-3</v>
      </c>
      <c r="D9" s="13">
        <v>7.0000000000000001E-3</v>
      </c>
    </row>
    <row r="10" spans="1:20" ht="15.75" thickBot="1" x14ac:dyDescent="0.3">
      <c r="I10" t="s">
        <v>89</v>
      </c>
      <c r="J10" t="s">
        <v>90</v>
      </c>
    </row>
    <row r="11" spans="1:20" ht="15.75" thickBot="1" x14ac:dyDescent="0.3">
      <c r="B11" s="2" t="s">
        <v>70</v>
      </c>
      <c r="C11" s="24" t="e">
        <f>IF('Quote &amp; Application'!#REF!='drop downs'!T3,J11,I11)</f>
        <v>#REF!</v>
      </c>
      <c r="D11" s="23" t="s">
        <v>93</v>
      </c>
      <c r="I11" s="29">
        <v>0.01</v>
      </c>
      <c r="J11" s="30">
        <v>5.0000000000000001E-3</v>
      </c>
    </row>
    <row r="13" spans="1:20" x14ac:dyDescent="0.25">
      <c r="A13" s="3" t="s">
        <v>59</v>
      </c>
      <c r="H13" s="15"/>
      <c r="I13" s="15"/>
      <c r="J13" s="15"/>
      <c r="K13" s="15"/>
    </row>
    <row r="15" spans="1:20" x14ac:dyDescent="0.25">
      <c r="A15" s="1" t="s">
        <v>57</v>
      </c>
      <c r="B15" t="str">
        <f>CONCATENATE('Quote &amp; Application'!E6)</f>
        <v>BULLS</v>
      </c>
      <c r="C15" t="s">
        <v>51</v>
      </c>
      <c r="D15" s="10" t="s">
        <v>49</v>
      </c>
      <c r="E15" s="6">
        <f>LOOKUP(B15,A2:A5,C2:C5)</f>
        <v>4.7100000000000003E-2</v>
      </c>
      <c r="F15" t="s">
        <v>51</v>
      </c>
      <c r="G15" s="10" t="s">
        <v>64</v>
      </c>
      <c r="H15" s="6">
        <f>LOOKUP(B15,A2:A5,D2:D5)</f>
        <v>5.8900000000000001E-2</v>
      </c>
    </row>
    <row r="16" spans="1:20" x14ac:dyDescent="0.25">
      <c r="C16" t="s">
        <v>50</v>
      </c>
      <c r="D16" s="10" t="s">
        <v>49</v>
      </c>
      <c r="E16" s="6">
        <f>LOOKUP(B15,G2:G3,I2:I3)</f>
        <v>0.114</v>
      </c>
      <c r="F16" t="s">
        <v>50</v>
      </c>
      <c r="G16" s="10" t="s">
        <v>64</v>
      </c>
      <c r="H16" s="6">
        <f>LOOKUP(B15,G2:G3,J2:J3)</f>
        <v>0.14249999999999999</v>
      </c>
    </row>
    <row r="17" spans="1:6" x14ac:dyDescent="0.25">
      <c r="C17"/>
    </row>
    <row r="18" spans="1:6" x14ac:dyDescent="0.25">
      <c r="E18" s="6"/>
      <c r="F18" s="3" t="s">
        <v>61</v>
      </c>
    </row>
    <row r="19" spans="1:6" x14ac:dyDescent="0.25">
      <c r="B19" t="str">
        <f>CONCATENATE('Quote &amp; Application'!E7)</f>
        <v>Mortality &amp; Loss of Use</v>
      </c>
      <c r="C19" s="20" t="s">
        <v>66</v>
      </c>
      <c r="D19" s="14">
        <f>LOOKUP(B19,C15:C16,E15:E16)</f>
        <v>0.114</v>
      </c>
      <c r="E19" s="6"/>
      <c r="F19" s="18">
        <f>SUM(C9)</f>
        <v>4.4999999999999997E-3</v>
      </c>
    </row>
    <row r="20" spans="1:6" x14ac:dyDescent="0.25">
      <c r="C20" s="20" t="s">
        <v>65</v>
      </c>
      <c r="D20" s="14">
        <f>LOOKUP(B19,F15:F16,H15:H16)</f>
        <v>0.14249999999999999</v>
      </c>
      <c r="F20" s="18">
        <f>SUM(D9)</f>
        <v>7.0000000000000001E-3</v>
      </c>
    </row>
    <row r="21" spans="1:6" ht="15.75" thickBot="1" x14ac:dyDescent="0.3">
      <c r="C21"/>
      <c r="E21" s="6"/>
    </row>
    <row r="22" spans="1:6" ht="15.75" thickBot="1" x14ac:dyDescent="0.3">
      <c r="B22" t="str">
        <f>CONCATENATE('Quote &amp; Application'!E8)</f>
        <v>Twelve Months</v>
      </c>
      <c r="C22" s="17">
        <f>LOOKUP(B22,C19:C20,D19:D20)</f>
        <v>0.14249999999999999</v>
      </c>
      <c r="E22" s="6"/>
      <c r="F22" s="16">
        <f>LOOKUP(B22,C19:C20,F19:F20)</f>
        <v>7.0000000000000001E-3</v>
      </c>
    </row>
    <row r="23" spans="1:6" x14ac:dyDescent="0.25">
      <c r="C23" s="123"/>
      <c r="E23" s="6"/>
      <c r="F23" s="124"/>
    </row>
    <row r="24" spans="1:6" x14ac:dyDescent="0.25">
      <c r="A24" s="1" t="s">
        <v>313</v>
      </c>
      <c r="C24" s="123"/>
      <c r="E24" s="6"/>
      <c r="F24" s="124"/>
    </row>
    <row r="25" spans="1:6" ht="15.75" thickBot="1" x14ac:dyDescent="0.3">
      <c r="C25"/>
      <c r="E25" s="6"/>
    </row>
    <row r="26" spans="1:6" ht="15.75" thickBot="1" x14ac:dyDescent="0.3">
      <c r="A26" s="1" t="s">
        <v>62</v>
      </c>
      <c r="B26" t="str">
        <f>CONCATENATE('Quote &amp; Application'!I23)</f>
        <v>NO</v>
      </c>
      <c r="C26" s="17">
        <f>IF('Quote &amp; Application'!I23="Yes",F22,0)</f>
        <v>0</v>
      </c>
      <c r="E26" s="6"/>
    </row>
    <row r="27" spans="1:6" x14ac:dyDescent="0.25">
      <c r="C27"/>
      <c r="E27" s="6"/>
    </row>
    <row r="28" spans="1:6" ht="15.75" thickBot="1" x14ac:dyDescent="0.3">
      <c r="C28"/>
      <c r="E28" s="6"/>
    </row>
    <row r="29" spans="1:6" ht="15.75" thickBot="1" x14ac:dyDescent="0.3">
      <c r="B29" s="1" t="s">
        <v>63</v>
      </c>
      <c r="C29" s="19">
        <f>SUM(C22+C26)</f>
        <v>0.14249999999999999</v>
      </c>
      <c r="E29" s="6"/>
    </row>
    <row r="32" spans="1:6" ht="15.75" thickBot="1" x14ac:dyDescent="0.3"/>
    <row r="33" spans="1:9" x14ac:dyDescent="0.25">
      <c r="A33" s="608"/>
      <c r="B33" s="609"/>
      <c r="C33" s="609"/>
      <c r="D33" s="609"/>
      <c r="E33" s="609"/>
      <c r="F33" s="609"/>
      <c r="G33" s="609"/>
      <c r="H33" s="609"/>
      <c r="I33" s="610"/>
    </row>
    <row r="34" spans="1:9" x14ac:dyDescent="0.25">
      <c r="A34" s="611"/>
      <c r="B34" s="612"/>
      <c r="C34" s="612"/>
      <c r="D34" s="612"/>
      <c r="E34" s="612"/>
      <c r="F34" s="612"/>
      <c r="G34" s="612"/>
      <c r="H34" s="612"/>
      <c r="I34" s="613"/>
    </row>
    <row r="35" spans="1:9" x14ac:dyDescent="0.25">
      <c r="A35" s="611"/>
      <c r="B35" s="612"/>
      <c r="C35" s="612"/>
      <c r="D35" s="612"/>
      <c r="E35" s="612"/>
      <c r="F35" s="612"/>
      <c r="G35" s="612"/>
      <c r="H35" s="612"/>
      <c r="I35" s="613"/>
    </row>
    <row r="36" spans="1:9" x14ac:dyDescent="0.25">
      <c r="A36" s="611"/>
      <c r="B36" s="612"/>
      <c r="C36" s="612"/>
      <c r="D36" s="612"/>
      <c r="E36" s="612"/>
      <c r="F36" s="612"/>
      <c r="G36" s="612"/>
      <c r="H36" s="612"/>
      <c r="I36" s="613"/>
    </row>
    <row r="37" spans="1:9" x14ac:dyDescent="0.25">
      <c r="A37" s="611"/>
      <c r="B37" s="612"/>
      <c r="C37" s="612"/>
      <c r="D37" s="612"/>
      <c r="E37" s="612"/>
      <c r="F37" s="612"/>
      <c r="G37" s="612"/>
      <c r="H37" s="612"/>
      <c r="I37" s="613"/>
    </row>
    <row r="38" spans="1:9" x14ac:dyDescent="0.25">
      <c r="A38" s="611"/>
      <c r="B38" s="612"/>
      <c r="C38" s="612"/>
      <c r="D38" s="612"/>
      <c r="E38" s="612"/>
      <c r="F38" s="612"/>
      <c r="G38" s="612"/>
      <c r="H38" s="612"/>
      <c r="I38" s="613"/>
    </row>
    <row r="39" spans="1:9" x14ac:dyDescent="0.25">
      <c r="A39" s="611"/>
      <c r="B39" s="612"/>
      <c r="C39" s="612"/>
      <c r="D39" s="612"/>
      <c r="E39" s="612"/>
      <c r="F39" s="612"/>
      <c r="G39" s="612"/>
      <c r="H39" s="612"/>
      <c r="I39" s="613"/>
    </row>
    <row r="40" spans="1:9" x14ac:dyDescent="0.25">
      <c r="A40" s="611"/>
      <c r="B40" s="612"/>
      <c r="C40" s="612"/>
      <c r="D40" s="612"/>
      <c r="E40" s="612"/>
      <c r="F40" s="612"/>
      <c r="G40" s="612"/>
      <c r="H40" s="612"/>
      <c r="I40" s="613"/>
    </row>
    <row r="41" spans="1:9" x14ac:dyDescent="0.25">
      <c r="A41" s="611"/>
      <c r="B41" s="612"/>
      <c r="C41" s="612"/>
      <c r="D41" s="612"/>
      <c r="E41" s="612"/>
      <c r="F41" s="612"/>
      <c r="G41" s="612"/>
      <c r="H41" s="612"/>
      <c r="I41" s="613"/>
    </row>
    <row r="42" spans="1:9" x14ac:dyDescent="0.25">
      <c r="A42" s="611"/>
      <c r="B42" s="612"/>
      <c r="C42" s="612"/>
      <c r="D42" s="612"/>
      <c r="E42" s="612"/>
      <c r="F42" s="612"/>
      <c r="G42" s="612"/>
      <c r="H42" s="612"/>
      <c r="I42" s="613"/>
    </row>
    <row r="43" spans="1:9" x14ac:dyDescent="0.25">
      <c r="A43" s="611"/>
      <c r="B43" s="612"/>
      <c r="C43" s="612"/>
      <c r="D43" s="612"/>
      <c r="E43" s="612"/>
      <c r="F43" s="612"/>
      <c r="G43" s="612"/>
      <c r="H43" s="612"/>
      <c r="I43" s="613"/>
    </row>
    <row r="44" spans="1:9" x14ac:dyDescent="0.25">
      <c r="A44" s="611"/>
      <c r="B44" s="612"/>
      <c r="C44" s="612"/>
      <c r="D44" s="612"/>
      <c r="E44" s="612"/>
      <c r="F44" s="612"/>
      <c r="G44" s="612"/>
      <c r="H44" s="612"/>
      <c r="I44" s="613"/>
    </row>
    <row r="45" spans="1:9" x14ac:dyDescent="0.25">
      <c r="A45" s="611"/>
      <c r="B45" s="612"/>
      <c r="C45" s="612"/>
      <c r="D45" s="612"/>
      <c r="E45" s="612"/>
      <c r="F45" s="612"/>
      <c r="G45" s="612"/>
      <c r="H45" s="612"/>
      <c r="I45" s="613"/>
    </row>
    <row r="46" spans="1:9" x14ac:dyDescent="0.25">
      <c r="A46" s="611"/>
      <c r="B46" s="612"/>
      <c r="C46" s="612"/>
      <c r="D46" s="612"/>
      <c r="E46" s="612"/>
      <c r="F46" s="612"/>
      <c r="G46" s="612"/>
      <c r="H46" s="612"/>
      <c r="I46" s="613"/>
    </row>
    <row r="47" spans="1:9" x14ac:dyDescent="0.25">
      <c r="A47" s="611"/>
      <c r="B47" s="612"/>
      <c r="C47" s="612"/>
      <c r="D47" s="612"/>
      <c r="E47" s="612"/>
      <c r="F47" s="612"/>
      <c r="G47" s="612"/>
      <c r="H47" s="612"/>
      <c r="I47" s="613"/>
    </row>
    <row r="48" spans="1:9" x14ac:dyDescent="0.25">
      <c r="A48" s="611"/>
      <c r="B48" s="612"/>
      <c r="C48" s="612"/>
      <c r="D48" s="612"/>
      <c r="E48" s="612"/>
      <c r="F48" s="612"/>
      <c r="G48" s="612"/>
      <c r="H48" s="612"/>
      <c r="I48" s="613"/>
    </row>
    <row r="49" spans="1:9" ht="15.75" thickBot="1" x14ac:dyDescent="0.3">
      <c r="A49" s="614"/>
      <c r="B49" s="615"/>
      <c r="C49" s="615"/>
      <c r="D49" s="615"/>
      <c r="E49" s="615"/>
      <c r="F49" s="615"/>
      <c r="G49" s="615"/>
      <c r="H49" s="615"/>
      <c r="I49" s="616"/>
    </row>
  </sheetData>
  <autoFilter ref="A1:T1" xr:uid="{E2A5F7A6-EFCC-4C1D-9FB5-D542A857003B}"/>
  <sortState xmlns:xlrd2="http://schemas.microsoft.com/office/spreadsheetml/2017/richdata2" ref="C19:D20">
    <sortCondition ref="C19:C20"/>
  </sortState>
  <mergeCells count="1">
    <mergeCell ref="A33:I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Quick Quote </vt:lpstr>
      <vt:lpstr>Quote &amp; Application</vt:lpstr>
      <vt:lpstr>drop downs</vt:lpstr>
      <vt:lpstr>Rural Affinity Rates </vt:lpstr>
      <vt:lpstr>All State Rates </vt:lpstr>
      <vt:lpstr>Manual rates</vt:lpstr>
      <vt:lpstr>Rates &amp; Rating</vt:lpstr>
      <vt:lpstr>'Manual rates'!Print_Area</vt:lpstr>
      <vt:lpstr>'Quick Quote '!Print_Area</vt:lpstr>
      <vt:lpstr>'Quote &amp; Application'!Print_Area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Brendan Kelly</dc:creator>
  <cp:lastModifiedBy>Brendan Kelly</cp:lastModifiedBy>
  <cp:lastPrinted>2026-10-12T06:07:32Z</cp:lastPrinted>
  <dcterms:created xsi:type="dcterms:W3CDTF">2021-07-05T01:19:27Z</dcterms:created>
  <dcterms:modified xsi:type="dcterms:W3CDTF">2026-10-13T04:49:37Z</dcterms:modified>
</cp:coreProperties>
</file>